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600" yWindow="60" windowWidth="12645" windowHeight="12510" tabRatio="835"/>
  </bookViews>
  <sheets>
    <sheet name="Raw Data" sheetId="3" r:id="rId1"/>
    <sheet name="Compilation" sheetId="4" r:id="rId2"/>
    <sheet name="Compilation 2" sheetId="5" r:id="rId3"/>
    <sheet name="Table" sheetId="6" r:id="rId4"/>
  </sheets>
  <definedNames>
    <definedName name="_xlnm.Print_Area" localSheetId="1">Compilation!$A$1:$O$44</definedName>
    <definedName name="_xlnm.Print_Area" localSheetId="2">'Compilation 2'!$A$1:$O$54</definedName>
    <definedName name="_xlnm.Print_Area" localSheetId="0">'Raw Data'!$A$1:$M$162</definedName>
    <definedName name="_xlnm.Print_Area" localSheetId="3">Table!$A$1:$X$138</definedName>
    <definedName name="_xlnm.Print_Titles" localSheetId="0">'Raw Data'!$1:$17</definedName>
    <definedName name="_xlnm.Print_Titles" localSheetId="3">Table!$1:$16</definedName>
  </definedNames>
  <calcPr calcId="145621"/>
</workbook>
</file>

<file path=xl/calcChain.xml><?xml version="1.0" encoding="utf-8"?>
<calcChain xmlns="http://schemas.openxmlformats.org/spreadsheetml/2006/main">
  <c r="AC16" i="6" l="1"/>
  <c r="AE10" i="6"/>
  <c r="AC10" i="6"/>
  <c r="C5" i="4"/>
  <c r="AE9" i="6"/>
  <c r="AD9" i="6"/>
  <c r="AC9" i="6"/>
  <c r="C4" i="4"/>
  <c r="C2" i="5"/>
  <c r="K6" i="5"/>
  <c r="K5" i="5"/>
  <c r="K4" i="5"/>
  <c r="K2" i="5"/>
  <c r="K6" i="4"/>
  <c r="K5" i="4"/>
  <c r="K4" i="4"/>
  <c r="K2" i="4"/>
  <c r="I11" i="3"/>
  <c r="I10" i="3"/>
  <c r="I9" i="3"/>
  <c r="I7" i="3"/>
  <c r="C2" i="4" l="1"/>
  <c r="C3" i="4"/>
  <c r="A8" i="3"/>
  <c r="C4" i="5"/>
  <c r="A9" i="3"/>
  <c r="C5" i="5"/>
  <c r="A10" i="3"/>
  <c r="O3" i="4"/>
  <c r="M8" i="3"/>
  <c r="O3" i="5"/>
  <c r="H23" i="3"/>
  <c r="K23" i="3" s="1"/>
  <c r="L23" i="3"/>
  <c r="C3" i="5"/>
  <c r="A7" i="3"/>
  <c r="E24" i="6"/>
  <c r="E28" i="6"/>
  <c r="E32" i="6"/>
  <c r="E36" i="6"/>
  <c r="E40" i="6"/>
  <c r="E44" i="6"/>
  <c r="E48" i="6"/>
  <c r="E52" i="6"/>
  <c r="E56" i="6"/>
  <c r="E60" i="6"/>
  <c r="E64" i="6"/>
  <c r="E68" i="6"/>
  <c r="E72" i="6"/>
  <c r="E76" i="6"/>
  <c r="E80" i="6"/>
  <c r="E84" i="6"/>
  <c r="E88" i="6"/>
  <c r="E92" i="6"/>
  <c r="E96" i="6"/>
  <c r="E100" i="6"/>
  <c r="E104" i="6"/>
  <c r="E108" i="6"/>
  <c r="E112" i="6"/>
  <c r="E116" i="6"/>
  <c r="E120" i="6"/>
  <c r="E124" i="6"/>
  <c r="E128" i="6"/>
  <c r="E132" i="6"/>
  <c r="E23" i="6"/>
  <c r="E25" i="6"/>
  <c r="E31" i="6"/>
  <c r="E39" i="6"/>
  <c r="E47" i="6"/>
  <c r="E55" i="6"/>
  <c r="E63" i="6"/>
  <c r="E71" i="6"/>
  <c r="E79" i="6"/>
  <c r="E87" i="6"/>
  <c r="E133" i="6"/>
  <c r="M30" i="3"/>
  <c r="E19" i="6"/>
  <c r="E21" i="6"/>
  <c r="E135" i="6"/>
  <c r="E134" i="6"/>
  <c r="E131" i="6"/>
  <c r="E130" i="6"/>
  <c r="E129" i="6"/>
  <c r="E127" i="6"/>
  <c r="E126" i="6"/>
  <c r="E125" i="6"/>
  <c r="E123" i="6"/>
  <c r="E122" i="6"/>
  <c r="E121" i="6"/>
  <c r="E119" i="6"/>
  <c r="E118" i="6"/>
  <c r="E117" i="6"/>
  <c r="E115" i="6"/>
  <c r="E114" i="6"/>
  <c r="E113" i="6"/>
  <c r="E111" i="6"/>
  <c r="E110" i="6"/>
  <c r="E109" i="6"/>
  <c r="E107" i="6"/>
  <c r="E106" i="6"/>
  <c r="E105" i="6"/>
  <c r="E103" i="6"/>
  <c r="E102" i="6"/>
  <c r="E101" i="6"/>
  <c r="E99" i="6"/>
  <c r="E98" i="6"/>
  <c r="E97" i="6"/>
  <c r="E95" i="6"/>
  <c r="E94" i="6"/>
  <c r="E93" i="6"/>
  <c r="E91" i="6"/>
  <c r="E90" i="6"/>
  <c r="E89" i="6"/>
  <c r="E86" i="6"/>
  <c r="E85" i="6"/>
  <c r="E83" i="6"/>
  <c r="E82" i="6"/>
  <c r="E81" i="6"/>
  <c r="E78" i="6"/>
  <c r="E77" i="6"/>
  <c r="E75" i="6"/>
  <c r="E74" i="6"/>
  <c r="E73" i="6"/>
  <c r="E70" i="6"/>
  <c r="E69" i="6"/>
  <c r="E67" i="6"/>
  <c r="E66" i="6"/>
  <c r="E65" i="6"/>
  <c r="E62" i="6"/>
  <c r="E61" i="6"/>
  <c r="E59" i="6"/>
  <c r="E58" i="6"/>
  <c r="E57" i="6"/>
  <c r="E54" i="6"/>
  <c r="E53" i="6"/>
  <c r="E51" i="6"/>
  <c r="E50" i="6"/>
  <c r="E49" i="6"/>
  <c r="E46" i="6"/>
  <c r="E45" i="6"/>
  <c r="E43" i="6"/>
  <c r="E42" i="6"/>
  <c r="E41" i="6"/>
  <c r="E38" i="6"/>
  <c r="E37" i="6"/>
  <c r="E35" i="6"/>
  <c r="E34" i="6"/>
  <c r="E33" i="6"/>
  <c r="E30" i="6"/>
  <c r="E29" i="6"/>
  <c r="E18" i="6"/>
  <c r="E20" i="6"/>
  <c r="E22" i="6"/>
  <c r="E26" i="6"/>
  <c r="E27" i="6"/>
  <c r="O2" i="5" l="1"/>
  <c r="M7" i="3"/>
  <c r="O2" i="4"/>
  <c r="I28" i="6"/>
  <c r="F27" i="6"/>
  <c r="I25" i="6"/>
  <c r="F24" i="6"/>
  <c r="I21" i="6"/>
  <c r="F20" i="6"/>
  <c r="I29" i="6"/>
  <c r="F28" i="6"/>
  <c r="I31" i="6"/>
  <c r="F30" i="6"/>
  <c r="I33" i="6"/>
  <c r="F32" i="6"/>
  <c r="I35" i="6"/>
  <c r="F34" i="6"/>
  <c r="I37" i="6"/>
  <c r="F36" i="6"/>
  <c r="I39" i="6"/>
  <c r="F38" i="6"/>
  <c r="I41" i="6"/>
  <c r="F40" i="6"/>
  <c r="I43" i="6"/>
  <c r="F42" i="6"/>
  <c r="AN23" i="6"/>
  <c r="I45" i="6"/>
  <c r="F44" i="6"/>
  <c r="I47" i="6"/>
  <c r="F46" i="6"/>
  <c r="I49" i="6"/>
  <c r="F48" i="6"/>
  <c r="I51" i="6"/>
  <c r="F50" i="6"/>
  <c r="I53" i="6"/>
  <c r="F52" i="6"/>
  <c r="I55" i="6"/>
  <c r="F54" i="6"/>
  <c r="I57" i="6"/>
  <c r="F56" i="6"/>
  <c r="I59" i="6"/>
  <c r="F58" i="6"/>
  <c r="I61" i="6"/>
  <c r="F60" i="6"/>
  <c r="I63" i="6"/>
  <c r="F62" i="6"/>
  <c r="I65" i="6"/>
  <c r="F64" i="6"/>
  <c r="AN20" i="6"/>
  <c r="I67" i="6"/>
  <c r="F66" i="6"/>
  <c r="I69" i="6"/>
  <c r="F68" i="6"/>
  <c r="AN19" i="6"/>
  <c r="I71" i="6"/>
  <c r="F70" i="6"/>
  <c r="I73" i="6"/>
  <c r="F72" i="6"/>
  <c r="I75" i="6"/>
  <c r="F74" i="6"/>
  <c r="I77" i="6"/>
  <c r="F76" i="6"/>
  <c r="I79" i="6"/>
  <c r="F78" i="6"/>
  <c r="F80" i="6"/>
  <c r="I81" i="6"/>
  <c r="F82" i="6"/>
  <c r="I83" i="6"/>
  <c r="F84" i="6"/>
  <c r="I85" i="6"/>
  <c r="F86" i="6"/>
  <c r="I87" i="6"/>
  <c r="F88" i="6"/>
  <c r="I89" i="6"/>
  <c r="F90" i="6"/>
  <c r="I91" i="6"/>
  <c r="F92" i="6"/>
  <c r="I93" i="6"/>
  <c r="F94" i="6"/>
  <c r="I95" i="6"/>
  <c r="F96" i="6"/>
  <c r="I97" i="6"/>
  <c r="F98" i="6"/>
  <c r="I99" i="6"/>
  <c r="F100" i="6"/>
  <c r="I101" i="6"/>
  <c r="F102" i="6"/>
  <c r="I103" i="6"/>
  <c r="F104" i="6"/>
  <c r="I105" i="6"/>
  <c r="F106" i="6"/>
  <c r="I107" i="6"/>
  <c r="F108" i="6"/>
  <c r="I109" i="6"/>
  <c r="F110" i="6"/>
  <c r="I111" i="6"/>
  <c r="F112" i="6"/>
  <c r="I113" i="6"/>
  <c r="I115" i="6"/>
  <c r="F114" i="6"/>
  <c r="I117" i="6"/>
  <c r="F116" i="6"/>
  <c r="I119" i="6"/>
  <c r="F118" i="6"/>
  <c r="I121" i="6"/>
  <c r="F120" i="6"/>
  <c r="AN11" i="6"/>
  <c r="I123" i="6"/>
  <c r="F122" i="6"/>
  <c r="I125" i="6"/>
  <c r="F124" i="6"/>
  <c r="I127" i="6"/>
  <c r="F126" i="6"/>
  <c r="I129" i="6"/>
  <c r="F128" i="6"/>
  <c r="I131" i="6"/>
  <c r="F130" i="6"/>
  <c r="I133" i="6"/>
  <c r="F132" i="6"/>
  <c r="I135" i="6"/>
  <c r="F134" i="6"/>
  <c r="I24" i="6"/>
  <c r="F23" i="6"/>
  <c r="I20" i="6"/>
  <c r="F19" i="6"/>
  <c r="I26" i="6"/>
  <c r="F25" i="6"/>
  <c r="N87" i="6"/>
  <c r="P87" i="6" s="1"/>
  <c r="L87" i="6"/>
  <c r="O87" i="6" s="1"/>
  <c r="M87" i="6"/>
  <c r="N83" i="6"/>
  <c r="P83" i="6" s="1"/>
  <c r="L83" i="6"/>
  <c r="O83" i="6" s="1"/>
  <c r="M83" i="6"/>
  <c r="N79" i="6"/>
  <c r="P79" i="6" s="1"/>
  <c r="L79" i="6"/>
  <c r="O79" i="6" s="1"/>
  <c r="M79" i="6"/>
  <c r="M75" i="6"/>
  <c r="N75" i="6"/>
  <c r="P75" i="6" s="1"/>
  <c r="L75" i="6"/>
  <c r="O75" i="6" s="1"/>
  <c r="M71" i="6"/>
  <c r="N71" i="6"/>
  <c r="P71" i="6" s="1"/>
  <c r="L71" i="6"/>
  <c r="O71" i="6" s="1"/>
  <c r="M67" i="6"/>
  <c r="N67" i="6"/>
  <c r="P67" i="6" s="1"/>
  <c r="L67" i="6"/>
  <c r="O67" i="6" s="1"/>
  <c r="M63" i="6"/>
  <c r="N63" i="6"/>
  <c r="P63" i="6" s="1"/>
  <c r="L63" i="6"/>
  <c r="O63" i="6" s="1"/>
  <c r="M59" i="6"/>
  <c r="N59" i="6"/>
  <c r="P59" i="6" s="1"/>
  <c r="L59" i="6"/>
  <c r="O59" i="6" s="1"/>
  <c r="M55" i="6"/>
  <c r="N55" i="6"/>
  <c r="P55" i="6" s="1"/>
  <c r="L55" i="6"/>
  <c r="O55" i="6" s="1"/>
  <c r="M51" i="6"/>
  <c r="N51" i="6"/>
  <c r="P51" i="6" s="1"/>
  <c r="L51" i="6"/>
  <c r="O51" i="6" s="1"/>
  <c r="M47" i="6"/>
  <c r="N47" i="6"/>
  <c r="P47" i="6" s="1"/>
  <c r="L47" i="6"/>
  <c r="O47" i="6" s="1"/>
  <c r="M43" i="6"/>
  <c r="N43" i="6"/>
  <c r="P43" i="6" s="1"/>
  <c r="L43" i="6"/>
  <c r="O43" i="6" s="1"/>
  <c r="M39" i="6"/>
  <c r="N39" i="6"/>
  <c r="P39" i="6" s="1"/>
  <c r="L39" i="6"/>
  <c r="O39" i="6" s="1"/>
  <c r="M35" i="6"/>
  <c r="N35" i="6"/>
  <c r="P35" i="6" s="1"/>
  <c r="L35" i="6"/>
  <c r="O35" i="6" s="1"/>
  <c r="M31" i="6"/>
  <c r="N31" i="6"/>
  <c r="P31" i="6" s="1"/>
  <c r="L31" i="6"/>
  <c r="O31" i="6" s="1"/>
  <c r="N27" i="6"/>
  <c r="P27" i="6" s="1"/>
  <c r="L27" i="6"/>
  <c r="O27" i="6" s="1"/>
  <c r="M27" i="6"/>
  <c r="N23" i="6"/>
  <c r="P23" i="6" s="1"/>
  <c r="L23" i="6"/>
  <c r="O23" i="6" s="1"/>
  <c r="M23" i="6"/>
  <c r="N19" i="6"/>
  <c r="P19" i="6" s="1"/>
  <c r="L19" i="6"/>
  <c r="O19" i="6" s="1"/>
  <c r="M19" i="6"/>
  <c r="I27" i="6"/>
  <c r="F26" i="6"/>
  <c r="I23" i="6"/>
  <c r="F22" i="6"/>
  <c r="AN27" i="6"/>
  <c r="I18" i="6"/>
  <c r="I19" i="6"/>
  <c r="F18" i="6"/>
  <c r="I30" i="6"/>
  <c r="F29" i="6"/>
  <c r="AN25" i="6"/>
  <c r="I32" i="6"/>
  <c r="F31" i="6"/>
  <c r="I34" i="6"/>
  <c r="F33" i="6"/>
  <c r="I36" i="6"/>
  <c r="F35" i="6"/>
  <c r="I38" i="6"/>
  <c r="F37" i="6"/>
  <c r="I40" i="6"/>
  <c r="F39" i="6"/>
  <c r="AN24" i="6"/>
  <c r="I42" i="6"/>
  <c r="F41" i="6"/>
  <c r="I44" i="6"/>
  <c r="F43" i="6"/>
  <c r="I46" i="6"/>
  <c r="F45" i="6"/>
  <c r="I48" i="6"/>
  <c r="F47" i="6"/>
  <c r="AN22" i="6"/>
  <c r="I50" i="6"/>
  <c r="F49" i="6"/>
  <c r="I52" i="6"/>
  <c r="F51" i="6"/>
  <c r="I54" i="6"/>
  <c r="F53" i="6"/>
  <c r="I56" i="6"/>
  <c r="F55" i="6"/>
  <c r="AN21" i="6"/>
  <c r="I58" i="6"/>
  <c r="F57" i="6"/>
  <c r="I60" i="6"/>
  <c r="F59" i="6"/>
  <c r="I62" i="6"/>
  <c r="F61" i="6"/>
  <c r="I64" i="6"/>
  <c r="F63" i="6"/>
  <c r="I66" i="6"/>
  <c r="F65" i="6"/>
  <c r="I68" i="6"/>
  <c r="F67" i="6"/>
  <c r="I70" i="6"/>
  <c r="F69" i="6"/>
  <c r="I72" i="6"/>
  <c r="F71" i="6"/>
  <c r="I74" i="6"/>
  <c r="F73" i="6"/>
  <c r="AN18" i="6"/>
  <c r="I76" i="6"/>
  <c r="F75" i="6"/>
  <c r="I78" i="6"/>
  <c r="F77" i="6"/>
  <c r="F79" i="6"/>
  <c r="I80" i="6"/>
  <c r="F81" i="6"/>
  <c r="I82" i="6"/>
  <c r="AN17" i="6"/>
  <c r="F83" i="6"/>
  <c r="I84" i="6"/>
  <c r="F85" i="6"/>
  <c r="I86" i="6"/>
  <c r="F87" i="6"/>
  <c r="I88" i="6"/>
  <c r="F89" i="6"/>
  <c r="I90" i="6"/>
  <c r="F91" i="6"/>
  <c r="I92" i="6"/>
  <c r="AN16" i="6"/>
  <c r="F93" i="6"/>
  <c r="I94" i="6"/>
  <c r="F95" i="6"/>
  <c r="I96" i="6"/>
  <c r="AN15" i="6"/>
  <c r="F97" i="6"/>
  <c r="I98" i="6"/>
  <c r="F99" i="6"/>
  <c r="I100" i="6"/>
  <c r="AN14" i="6"/>
  <c r="F101" i="6"/>
  <c r="I102" i="6"/>
  <c r="F103" i="6"/>
  <c r="I104" i="6"/>
  <c r="F105" i="6"/>
  <c r="I106" i="6"/>
  <c r="F107" i="6"/>
  <c r="I108" i="6"/>
  <c r="AN13" i="6"/>
  <c r="F109" i="6"/>
  <c r="I110" i="6"/>
  <c r="F111" i="6"/>
  <c r="I112" i="6"/>
  <c r="F113" i="6"/>
  <c r="I114" i="6"/>
  <c r="I116" i="6"/>
  <c r="F115" i="6"/>
  <c r="I118" i="6"/>
  <c r="F117" i="6"/>
  <c r="AN12" i="6"/>
  <c r="I120" i="6"/>
  <c r="F119" i="6"/>
  <c r="I122" i="6"/>
  <c r="F121" i="6"/>
  <c r="I124" i="6"/>
  <c r="F123" i="6"/>
  <c r="I126" i="6"/>
  <c r="F125" i="6"/>
  <c r="AN10" i="6"/>
  <c r="I128" i="6"/>
  <c r="F127" i="6"/>
  <c r="I130" i="6"/>
  <c r="F129" i="6"/>
  <c r="I132" i="6"/>
  <c r="F131" i="6"/>
  <c r="I134" i="6"/>
  <c r="F133" i="6"/>
  <c r="AN9" i="6"/>
  <c r="F135" i="6"/>
  <c r="AN8" i="6"/>
  <c r="AN26" i="6"/>
  <c r="I22" i="6"/>
  <c r="F21" i="6"/>
  <c r="M135" i="6"/>
  <c r="N135" i="6"/>
  <c r="P135" i="6" s="1"/>
  <c r="L135" i="6"/>
  <c r="O135" i="6" s="1"/>
  <c r="M133" i="6"/>
  <c r="N133" i="6"/>
  <c r="P133" i="6" s="1"/>
  <c r="L133" i="6"/>
  <c r="O133" i="6" s="1"/>
  <c r="M131" i="6"/>
  <c r="N131" i="6"/>
  <c r="P131" i="6" s="1"/>
  <c r="L131" i="6"/>
  <c r="O131" i="6" s="1"/>
  <c r="M129" i="6"/>
  <c r="N129" i="6"/>
  <c r="P129" i="6" s="1"/>
  <c r="L129" i="6"/>
  <c r="O129" i="6" s="1"/>
  <c r="M127" i="6"/>
  <c r="N127" i="6"/>
  <c r="P127" i="6" s="1"/>
  <c r="L127" i="6"/>
  <c r="O127" i="6" s="1"/>
  <c r="M125" i="6"/>
  <c r="N125" i="6"/>
  <c r="P125" i="6" s="1"/>
  <c r="L125" i="6"/>
  <c r="O125" i="6" s="1"/>
  <c r="M123" i="6"/>
  <c r="N123" i="6"/>
  <c r="P123" i="6" s="1"/>
  <c r="L123" i="6"/>
  <c r="O123" i="6" s="1"/>
  <c r="M121" i="6"/>
  <c r="N121" i="6"/>
  <c r="P121" i="6" s="1"/>
  <c r="L121" i="6"/>
  <c r="O121" i="6" s="1"/>
  <c r="M119" i="6"/>
  <c r="N119" i="6"/>
  <c r="P119" i="6" s="1"/>
  <c r="L119" i="6"/>
  <c r="O119" i="6" s="1"/>
  <c r="M117" i="6"/>
  <c r="L117" i="6"/>
  <c r="O117" i="6" s="1"/>
  <c r="N117" i="6"/>
  <c r="P117" i="6" s="1"/>
  <c r="M115" i="6"/>
  <c r="L115" i="6"/>
  <c r="O115" i="6" s="1"/>
  <c r="N115" i="6"/>
  <c r="P115" i="6" s="1"/>
  <c r="N113" i="6"/>
  <c r="P113" i="6" s="1"/>
  <c r="L113" i="6"/>
  <c r="O113" i="6" s="1"/>
  <c r="M113" i="6"/>
  <c r="N111" i="6"/>
  <c r="P111" i="6" s="1"/>
  <c r="L111" i="6"/>
  <c r="O111" i="6" s="1"/>
  <c r="M111" i="6"/>
  <c r="N109" i="6"/>
  <c r="P109" i="6" s="1"/>
  <c r="L109" i="6"/>
  <c r="O109" i="6" s="1"/>
  <c r="M109" i="6"/>
  <c r="N107" i="6"/>
  <c r="P107" i="6" s="1"/>
  <c r="L107" i="6"/>
  <c r="O107" i="6" s="1"/>
  <c r="M107" i="6"/>
  <c r="N105" i="6"/>
  <c r="P105" i="6" s="1"/>
  <c r="L105" i="6"/>
  <c r="O105" i="6" s="1"/>
  <c r="M105" i="6"/>
  <c r="N103" i="6"/>
  <c r="P103" i="6" s="1"/>
  <c r="L103" i="6"/>
  <c r="O103" i="6" s="1"/>
  <c r="M103" i="6"/>
  <c r="N101" i="6"/>
  <c r="P101" i="6" s="1"/>
  <c r="L101" i="6"/>
  <c r="O101" i="6" s="1"/>
  <c r="M101" i="6"/>
  <c r="N99" i="6"/>
  <c r="P99" i="6" s="1"/>
  <c r="L99" i="6"/>
  <c r="O99" i="6" s="1"/>
  <c r="M99" i="6"/>
  <c r="N97" i="6"/>
  <c r="P97" i="6" s="1"/>
  <c r="L97" i="6"/>
  <c r="O97" i="6" s="1"/>
  <c r="M97" i="6"/>
  <c r="N95" i="6"/>
  <c r="P95" i="6" s="1"/>
  <c r="L95" i="6"/>
  <c r="O95" i="6" s="1"/>
  <c r="M95" i="6"/>
  <c r="N93" i="6"/>
  <c r="P93" i="6" s="1"/>
  <c r="L93" i="6"/>
  <c r="O93" i="6" s="1"/>
  <c r="M93" i="6"/>
  <c r="N91" i="6"/>
  <c r="P91" i="6" s="1"/>
  <c r="L91" i="6"/>
  <c r="O91" i="6" s="1"/>
  <c r="M91" i="6"/>
  <c r="N89" i="6"/>
  <c r="P89" i="6" s="1"/>
  <c r="L89" i="6"/>
  <c r="O89" i="6" s="1"/>
  <c r="M89" i="6"/>
  <c r="N85" i="6"/>
  <c r="P85" i="6" s="1"/>
  <c r="L85" i="6"/>
  <c r="O85" i="6" s="1"/>
  <c r="M85" i="6"/>
  <c r="N81" i="6"/>
  <c r="P81" i="6" s="1"/>
  <c r="L81" i="6"/>
  <c r="O81" i="6" s="1"/>
  <c r="M81" i="6"/>
  <c r="M77" i="6"/>
  <c r="N77" i="6"/>
  <c r="P77" i="6" s="1"/>
  <c r="L77" i="6"/>
  <c r="O77" i="6" s="1"/>
  <c r="M73" i="6"/>
  <c r="N73" i="6"/>
  <c r="P73" i="6" s="1"/>
  <c r="L73" i="6"/>
  <c r="O73" i="6" s="1"/>
  <c r="M69" i="6"/>
  <c r="N69" i="6"/>
  <c r="P69" i="6" s="1"/>
  <c r="L69" i="6"/>
  <c r="O69" i="6" s="1"/>
  <c r="M65" i="6"/>
  <c r="N65" i="6"/>
  <c r="P65" i="6" s="1"/>
  <c r="L65" i="6"/>
  <c r="O65" i="6" s="1"/>
  <c r="M61" i="6"/>
  <c r="N61" i="6"/>
  <c r="P61" i="6" s="1"/>
  <c r="L61" i="6"/>
  <c r="O61" i="6" s="1"/>
  <c r="M57" i="6"/>
  <c r="N57" i="6"/>
  <c r="P57" i="6" s="1"/>
  <c r="L57" i="6"/>
  <c r="O57" i="6" s="1"/>
  <c r="M53" i="6"/>
  <c r="N53" i="6"/>
  <c r="P53" i="6" s="1"/>
  <c r="L53" i="6"/>
  <c r="O53" i="6" s="1"/>
  <c r="M49" i="6"/>
  <c r="N49" i="6"/>
  <c r="P49" i="6" s="1"/>
  <c r="L49" i="6"/>
  <c r="O49" i="6" s="1"/>
  <c r="M45" i="6"/>
  <c r="N45" i="6"/>
  <c r="P45" i="6" s="1"/>
  <c r="L45" i="6"/>
  <c r="O45" i="6" s="1"/>
  <c r="M41" i="6"/>
  <c r="N41" i="6"/>
  <c r="P41" i="6" s="1"/>
  <c r="L41" i="6"/>
  <c r="O41" i="6" s="1"/>
  <c r="M37" i="6"/>
  <c r="N37" i="6"/>
  <c r="P37" i="6" s="1"/>
  <c r="L37" i="6"/>
  <c r="O37" i="6" s="1"/>
  <c r="M33" i="6"/>
  <c r="N33" i="6"/>
  <c r="P33" i="6" s="1"/>
  <c r="L33" i="6"/>
  <c r="O33" i="6" s="1"/>
  <c r="M29" i="6"/>
  <c r="N29" i="6"/>
  <c r="P29" i="6" s="1"/>
  <c r="L29" i="6"/>
  <c r="O29" i="6" s="1"/>
  <c r="N25" i="6"/>
  <c r="P25" i="6" s="1"/>
  <c r="L25" i="6"/>
  <c r="O25" i="6" s="1"/>
  <c r="M25" i="6"/>
  <c r="N21" i="6"/>
  <c r="P21" i="6" s="1"/>
  <c r="L21" i="6"/>
  <c r="O21" i="6" s="1"/>
  <c r="M21" i="6"/>
  <c r="M134" i="6"/>
  <c r="N134" i="6"/>
  <c r="P134" i="6" s="1"/>
  <c r="L134" i="6"/>
  <c r="O134" i="6" s="1"/>
  <c r="M132" i="6"/>
  <c r="N132" i="6"/>
  <c r="P132" i="6" s="1"/>
  <c r="L132" i="6"/>
  <c r="O132" i="6" s="1"/>
  <c r="M130" i="6"/>
  <c r="N130" i="6"/>
  <c r="P130" i="6" s="1"/>
  <c r="L130" i="6"/>
  <c r="O130" i="6" s="1"/>
  <c r="M128" i="6"/>
  <c r="N128" i="6"/>
  <c r="P128" i="6" s="1"/>
  <c r="L128" i="6"/>
  <c r="O128" i="6" s="1"/>
  <c r="M126" i="6"/>
  <c r="N126" i="6"/>
  <c r="P126" i="6" s="1"/>
  <c r="L126" i="6"/>
  <c r="O126" i="6" s="1"/>
  <c r="M124" i="6"/>
  <c r="N124" i="6"/>
  <c r="P124" i="6" s="1"/>
  <c r="L124" i="6"/>
  <c r="O124" i="6" s="1"/>
  <c r="M122" i="6"/>
  <c r="N122" i="6"/>
  <c r="P122" i="6" s="1"/>
  <c r="L122" i="6"/>
  <c r="O122" i="6" s="1"/>
  <c r="M120" i="6"/>
  <c r="N120" i="6"/>
  <c r="P120" i="6" s="1"/>
  <c r="L120" i="6"/>
  <c r="O120" i="6" s="1"/>
  <c r="M118" i="6"/>
  <c r="L118" i="6"/>
  <c r="O118" i="6" s="1"/>
  <c r="N118" i="6"/>
  <c r="P118" i="6" s="1"/>
  <c r="M116" i="6"/>
  <c r="L116" i="6"/>
  <c r="O116" i="6" s="1"/>
  <c r="N116" i="6"/>
  <c r="P116" i="6" s="1"/>
  <c r="N114" i="6"/>
  <c r="P114" i="6" s="1"/>
  <c r="L114" i="6"/>
  <c r="O114" i="6" s="1"/>
  <c r="M114" i="6"/>
  <c r="N112" i="6"/>
  <c r="P112" i="6" s="1"/>
  <c r="L112" i="6"/>
  <c r="O112" i="6" s="1"/>
  <c r="M112" i="6"/>
  <c r="N110" i="6"/>
  <c r="P110" i="6" s="1"/>
  <c r="L110" i="6"/>
  <c r="O110" i="6" s="1"/>
  <c r="M110" i="6"/>
  <c r="N108" i="6"/>
  <c r="P108" i="6" s="1"/>
  <c r="L108" i="6"/>
  <c r="O108" i="6" s="1"/>
  <c r="M108" i="6"/>
  <c r="N106" i="6"/>
  <c r="P106" i="6" s="1"/>
  <c r="L106" i="6"/>
  <c r="O106" i="6" s="1"/>
  <c r="M106" i="6"/>
  <c r="N104" i="6"/>
  <c r="P104" i="6" s="1"/>
  <c r="L104" i="6"/>
  <c r="O104" i="6" s="1"/>
  <c r="M104" i="6"/>
  <c r="N102" i="6"/>
  <c r="P102" i="6" s="1"/>
  <c r="L102" i="6"/>
  <c r="O102" i="6" s="1"/>
  <c r="M102" i="6"/>
  <c r="N100" i="6"/>
  <c r="P100" i="6" s="1"/>
  <c r="L100" i="6"/>
  <c r="O100" i="6" s="1"/>
  <c r="M100" i="6"/>
  <c r="N98" i="6"/>
  <c r="P98" i="6" s="1"/>
  <c r="L98" i="6"/>
  <c r="O98" i="6" s="1"/>
  <c r="M98" i="6"/>
  <c r="N96" i="6"/>
  <c r="P96" i="6" s="1"/>
  <c r="L96" i="6"/>
  <c r="O96" i="6" s="1"/>
  <c r="M96" i="6"/>
  <c r="N94" i="6"/>
  <c r="P94" i="6" s="1"/>
  <c r="L94" i="6"/>
  <c r="O94" i="6" s="1"/>
  <c r="M94" i="6"/>
  <c r="N92" i="6"/>
  <c r="P92" i="6" s="1"/>
  <c r="L92" i="6"/>
  <c r="O92" i="6" s="1"/>
  <c r="M92" i="6"/>
  <c r="N90" i="6"/>
  <c r="P90" i="6" s="1"/>
  <c r="L90" i="6"/>
  <c r="O90" i="6" s="1"/>
  <c r="M90" i="6"/>
  <c r="N88" i="6"/>
  <c r="P88" i="6" s="1"/>
  <c r="L88" i="6"/>
  <c r="O88" i="6" s="1"/>
  <c r="M88" i="6"/>
  <c r="N86" i="6"/>
  <c r="P86" i="6" s="1"/>
  <c r="L86" i="6"/>
  <c r="O86" i="6" s="1"/>
  <c r="M86" i="6"/>
  <c r="N84" i="6"/>
  <c r="P84" i="6" s="1"/>
  <c r="L84" i="6"/>
  <c r="O84" i="6" s="1"/>
  <c r="M84" i="6"/>
  <c r="N82" i="6"/>
  <c r="P82" i="6" s="1"/>
  <c r="L82" i="6"/>
  <c r="O82" i="6" s="1"/>
  <c r="M82" i="6"/>
  <c r="N80" i="6"/>
  <c r="P80" i="6" s="1"/>
  <c r="L80" i="6"/>
  <c r="O80" i="6" s="1"/>
  <c r="M80" i="6"/>
  <c r="N78" i="6"/>
  <c r="P78" i="6" s="1"/>
  <c r="M78" i="6"/>
  <c r="L78" i="6"/>
  <c r="O78" i="6" s="1"/>
  <c r="M76" i="6"/>
  <c r="N76" i="6"/>
  <c r="P76" i="6" s="1"/>
  <c r="L76" i="6"/>
  <c r="M74" i="6"/>
  <c r="N74" i="6"/>
  <c r="P74" i="6" s="1"/>
  <c r="L74" i="6"/>
  <c r="O74" i="6" s="1"/>
  <c r="M72" i="6"/>
  <c r="N72" i="6"/>
  <c r="P72" i="6" s="1"/>
  <c r="L72" i="6"/>
  <c r="O72" i="6" s="1"/>
  <c r="M70" i="6"/>
  <c r="N70" i="6"/>
  <c r="P70" i="6" s="1"/>
  <c r="L70" i="6"/>
  <c r="O70" i="6" s="1"/>
  <c r="M68" i="6"/>
  <c r="N68" i="6"/>
  <c r="P68" i="6" s="1"/>
  <c r="L68" i="6"/>
  <c r="O68" i="6" s="1"/>
  <c r="M66" i="6"/>
  <c r="N66" i="6"/>
  <c r="P66" i="6" s="1"/>
  <c r="L66" i="6"/>
  <c r="O66" i="6" s="1"/>
  <c r="M64" i="6"/>
  <c r="N64" i="6"/>
  <c r="P64" i="6" s="1"/>
  <c r="L64" i="6"/>
  <c r="O64" i="6" s="1"/>
  <c r="M62" i="6"/>
  <c r="N62" i="6"/>
  <c r="P62" i="6" s="1"/>
  <c r="L62" i="6"/>
  <c r="O62" i="6" s="1"/>
  <c r="M60" i="6"/>
  <c r="N60" i="6"/>
  <c r="P60" i="6" s="1"/>
  <c r="L60" i="6"/>
  <c r="O60" i="6" s="1"/>
  <c r="M58" i="6"/>
  <c r="N58" i="6"/>
  <c r="P58" i="6" s="1"/>
  <c r="L58" i="6"/>
  <c r="O58" i="6" s="1"/>
  <c r="M56" i="6"/>
  <c r="N56" i="6"/>
  <c r="P56" i="6" s="1"/>
  <c r="L56" i="6"/>
  <c r="O56" i="6" s="1"/>
  <c r="M54" i="6"/>
  <c r="N54" i="6"/>
  <c r="P54" i="6" s="1"/>
  <c r="L54" i="6"/>
  <c r="O54" i="6" s="1"/>
  <c r="M52" i="6"/>
  <c r="N52" i="6"/>
  <c r="P52" i="6" s="1"/>
  <c r="L52" i="6"/>
  <c r="O52" i="6" s="1"/>
  <c r="M50" i="6"/>
  <c r="N50" i="6"/>
  <c r="P50" i="6" s="1"/>
  <c r="L50" i="6"/>
  <c r="O50" i="6" s="1"/>
  <c r="M48" i="6"/>
  <c r="N48" i="6"/>
  <c r="P48" i="6" s="1"/>
  <c r="L48" i="6"/>
  <c r="O48" i="6" s="1"/>
  <c r="M46" i="6"/>
  <c r="N46" i="6"/>
  <c r="P46" i="6" s="1"/>
  <c r="L46" i="6"/>
  <c r="O46" i="6" s="1"/>
  <c r="M44" i="6"/>
  <c r="N44" i="6"/>
  <c r="P44" i="6" s="1"/>
  <c r="L44" i="6"/>
  <c r="O44" i="6" s="1"/>
  <c r="M42" i="6"/>
  <c r="N42" i="6"/>
  <c r="P42" i="6" s="1"/>
  <c r="L42" i="6"/>
  <c r="O42" i="6" s="1"/>
  <c r="M40" i="6"/>
  <c r="N40" i="6"/>
  <c r="P40" i="6" s="1"/>
  <c r="L40" i="6"/>
  <c r="O40" i="6" s="1"/>
  <c r="M38" i="6"/>
  <c r="N38" i="6"/>
  <c r="P38" i="6" s="1"/>
  <c r="L38" i="6"/>
  <c r="O38" i="6" s="1"/>
  <c r="M36" i="6"/>
  <c r="N36" i="6"/>
  <c r="P36" i="6" s="1"/>
  <c r="L36" i="6"/>
  <c r="O36" i="6" s="1"/>
  <c r="M34" i="6"/>
  <c r="N34" i="6"/>
  <c r="P34" i="6" s="1"/>
  <c r="L34" i="6"/>
  <c r="O34" i="6" s="1"/>
  <c r="M32" i="6"/>
  <c r="N32" i="6"/>
  <c r="P32" i="6" s="1"/>
  <c r="L32" i="6"/>
  <c r="O32" i="6" s="1"/>
  <c r="M30" i="6"/>
  <c r="N30" i="6"/>
  <c r="P30" i="6" s="1"/>
  <c r="L30" i="6"/>
  <c r="O30" i="6" s="1"/>
  <c r="M28" i="6"/>
  <c r="N28" i="6"/>
  <c r="P28" i="6" s="1"/>
  <c r="L28" i="6"/>
  <c r="O28" i="6" s="1"/>
  <c r="M26" i="6"/>
  <c r="N26" i="6"/>
  <c r="P26" i="6" s="1"/>
  <c r="L26" i="6"/>
  <c r="O26" i="6" s="1"/>
  <c r="M24" i="6"/>
  <c r="N24" i="6"/>
  <c r="P24" i="6" s="1"/>
  <c r="L24" i="6"/>
  <c r="O24" i="6" s="1"/>
  <c r="M22" i="6"/>
  <c r="N22" i="6"/>
  <c r="P22" i="6" s="1"/>
  <c r="L22" i="6"/>
  <c r="O22" i="6" s="1"/>
  <c r="M20" i="6"/>
  <c r="N20" i="6"/>
  <c r="P20" i="6" s="1"/>
  <c r="L20" i="6"/>
  <c r="O20" i="6" s="1"/>
  <c r="M18" i="6"/>
  <c r="N18" i="6"/>
  <c r="P18" i="6" s="1"/>
  <c r="L18" i="6"/>
  <c r="O18" i="6" s="1"/>
  <c r="O76" i="6" l="1"/>
  <c r="C18" i="3" l="1"/>
  <c r="Q18" i="6" l="1"/>
  <c r="R18" i="6"/>
  <c r="U18" i="6" s="1"/>
  <c r="V18" i="6" s="1"/>
  <c r="C19" i="3"/>
  <c r="R19" i="6" l="1"/>
  <c r="U19" i="6" s="1"/>
  <c r="V19" i="6" s="1"/>
  <c r="Q19" i="6"/>
  <c r="C20" i="3"/>
  <c r="Q20" i="6" l="1"/>
  <c r="R20" i="6"/>
  <c r="U20" i="6" s="1"/>
  <c r="V20" i="6" s="1"/>
  <c r="C21" i="3"/>
  <c r="R21" i="6" l="1"/>
  <c r="U21" i="6" s="1"/>
  <c r="V21" i="6" s="1"/>
  <c r="Q21" i="6"/>
  <c r="C22" i="3"/>
  <c r="Q22" i="6" l="1"/>
  <c r="R22" i="6"/>
  <c r="U22" i="6" s="1"/>
  <c r="V22" i="6" s="1"/>
  <c r="C23" i="3"/>
  <c r="R23" i="6" l="1"/>
  <c r="U23" i="6" s="1"/>
  <c r="V23" i="6" s="1"/>
  <c r="Q23" i="6"/>
  <c r="C24" i="3"/>
  <c r="Q24" i="6" l="1"/>
  <c r="R24" i="6"/>
  <c r="U24" i="6" s="1"/>
  <c r="V24" i="6" s="1"/>
  <c r="C25" i="3"/>
  <c r="R25" i="6" l="1"/>
  <c r="U25" i="6" s="1"/>
  <c r="V25" i="6" s="1"/>
  <c r="Q25" i="6"/>
  <c r="C26" i="3"/>
  <c r="C27" i="3" l="1"/>
  <c r="Q26" i="6"/>
  <c r="R26" i="6"/>
  <c r="U26" i="6" s="1"/>
  <c r="V26" i="6" s="1"/>
  <c r="C28" i="3" l="1"/>
  <c r="R27" i="6"/>
  <c r="U27" i="6" s="1"/>
  <c r="V27" i="6" s="1"/>
  <c r="Q27" i="6"/>
  <c r="Q28" i="6" l="1"/>
  <c r="R28" i="6"/>
  <c r="U28" i="6" s="1"/>
  <c r="V28" i="6" s="1"/>
  <c r="C29" i="3"/>
  <c r="Q29" i="6" l="1"/>
  <c r="R29" i="6"/>
  <c r="U29" i="6" s="1"/>
  <c r="V29" i="6" s="1"/>
  <c r="C30" i="3"/>
  <c r="Q30" i="6" l="1"/>
  <c r="R30" i="6"/>
  <c r="U30" i="6" s="1"/>
  <c r="V30" i="6" s="1"/>
  <c r="C31" i="3"/>
  <c r="Q31" i="6" l="1"/>
  <c r="R31" i="6"/>
  <c r="U31" i="6" s="1"/>
  <c r="V31" i="6" s="1"/>
  <c r="C32" i="3"/>
  <c r="Q32" i="6" l="1"/>
  <c r="R32" i="6"/>
  <c r="U32" i="6" s="1"/>
  <c r="V32" i="6" s="1"/>
  <c r="C33" i="3"/>
  <c r="Q33" i="6" l="1"/>
  <c r="R33" i="6"/>
  <c r="U33" i="6" s="1"/>
  <c r="V33" i="6" s="1"/>
  <c r="C34" i="3"/>
  <c r="Q34" i="6" l="1"/>
  <c r="R34" i="6"/>
  <c r="U34" i="6" s="1"/>
  <c r="V34" i="6" s="1"/>
  <c r="C35" i="3"/>
  <c r="Q35" i="6" l="1"/>
  <c r="R35" i="6"/>
  <c r="U35" i="6" s="1"/>
  <c r="V35" i="6" s="1"/>
  <c r="C36" i="3"/>
  <c r="Q36" i="6" l="1"/>
  <c r="R36" i="6"/>
  <c r="U36" i="6" s="1"/>
  <c r="V36" i="6" s="1"/>
  <c r="C37" i="3"/>
  <c r="Q37" i="6" l="1"/>
  <c r="R37" i="6"/>
  <c r="U37" i="6" s="1"/>
  <c r="V37" i="6" s="1"/>
  <c r="C38" i="3"/>
  <c r="Q38" i="6" l="1"/>
  <c r="R38" i="6"/>
  <c r="U38" i="6" s="1"/>
  <c r="V38" i="6" s="1"/>
  <c r="C39" i="3"/>
  <c r="Q39" i="6" l="1"/>
  <c r="R39" i="6"/>
  <c r="U39" i="6" s="1"/>
  <c r="V39" i="6" s="1"/>
  <c r="C40" i="3"/>
  <c r="Q40" i="6" l="1"/>
  <c r="R40" i="6"/>
  <c r="U40" i="6" s="1"/>
  <c r="V40" i="6" s="1"/>
  <c r="C41" i="3"/>
  <c r="Q41" i="6" l="1"/>
  <c r="R41" i="6"/>
  <c r="U41" i="6" s="1"/>
  <c r="V41" i="6" s="1"/>
  <c r="C42" i="3"/>
  <c r="Q42" i="6" l="1"/>
  <c r="R42" i="6"/>
  <c r="U42" i="6" s="1"/>
  <c r="V42" i="6" s="1"/>
  <c r="C43" i="3"/>
  <c r="C44" i="3" l="1"/>
  <c r="Q43" i="6"/>
  <c r="R43" i="6"/>
  <c r="U43" i="6" s="1"/>
  <c r="V43" i="6" s="1"/>
  <c r="C45" i="3" l="1"/>
  <c r="Q44" i="6"/>
  <c r="R44" i="6"/>
  <c r="U44" i="6" s="1"/>
  <c r="V44" i="6" s="1"/>
  <c r="C46" i="3" l="1"/>
  <c r="Q45" i="6"/>
  <c r="R45" i="6"/>
  <c r="U45" i="6" s="1"/>
  <c r="V45" i="6" s="1"/>
  <c r="C47" i="3" l="1"/>
  <c r="Q46" i="6"/>
  <c r="R46" i="6"/>
  <c r="U46" i="6" s="1"/>
  <c r="V46" i="6" s="1"/>
  <c r="C48" i="3" l="1"/>
  <c r="Q47" i="6"/>
  <c r="R47" i="6"/>
  <c r="U47" i="6" s="1"/>
  <c r="V47" i="6" s="1"/>
  <c r="C49" i="3" l="1"/>
  <c r="Q48" i="6"/>
  <c r="R48" i="6"/>
  <c r="U48" i="6" s="1"/>
  <c r="V48" i="6" s="1"/>
  <c r="C50" i="3" l="1"/>
  <c r="Q49" i="6"/>
  <c r="R49" i="6"/>
  <c r="U49" i="6" s="1"/>
  <c r="V49" i="6" s="1"/>
  <c r="C51" i="3" l="1"/>
  <c r="Q50" i="6"/>
  <c r="R50" i="6"/>
  <c r="U50" i="6" s="1"/>
  <c r="V50" i="6" s="1"/>
  <c r="C52" i="3" l="1"/>
  <c r="Q51" i="6"/>
  <c r="R51" i="6"/>
  <c r="U51" i="6" s="1"/>
  <c r="V51" i="6" s="1"/>
  <c r="C53" i="3" l="1"/>
  <c r="Q52" i="6"/>
  <c r="R52" i="6"/>
  <c r="U52" i="6" s="1"/>
  <c r="V52" i="6" s="1"/>
  <c r="C54" i="3" l="1"/>
  <c r="Q53" i="6"/>
  <c r="R53" i="6"/>
  <c r="U53" i="6" s="1"/>
  <c r="V53" i="6" s="1"/>
  <c r="C55" i="3" l="1"/>
  <c r="Q54" i="6"/>
  <c r="R54" i="6"/>
  <c r="U54" i="6" s="1"/>
  <c r="V54" i="6" s="1"/>
  <c r="C56" i="3" l="1"/>
  <c r="Q55" i="6"/>
  <c r="R55" i="6"/>
  <c r="U55" i="6" s="1"/>
  <c r="V55" i="6" s="1"/>
  <c r="Q56" i="6" l="1"/>
  <c r="R56" i="6"/>
  <c r="U56" i="6" s="1"/>
  <c r="V56" i="6" s="1"/>
  <c r="C57" i="3"/>
  <c r="Q57" i="6" l="1"/>
  <c r="R57" i="6"/>
  <c r="U57" i="6" s="1"/>
  <c r="V57" i="6" s="1"/>
  <c r="C58" i="3"/>
  <c r="Q58" i="6" l="1"/>
  <c r="R58" i="6"/>
  <c r="U58" i="6" s="1"/>
  <c r="V58" i="6" s="1"/>
  <c r="C59" i="3"/>
  <c r="Q59" i="6" l="1"/>
  <c r="R59" i="6"/>
  <c r="U59" i="6" s="1"/>
  <c r="V59" i="6" s="1"/>
  <c r="C60" i="3"/>
  <c r="Q60" i="6" l="1"/>
  <c r="R60" i="6"/>
  <c r="U60" i="6" s="1"/>
  <c r="V60" i="6" s="1"/>
  <c r="C61" i="3"/>
  <c r="Q61" i="6" l="1"/>
  <c r="R61" i="6"/>
  <c r="U61" i="6" s="1"/>
  <c r="V61" i="6" s="1"/>
  <c r="C62" i="3"/>
  <c r="Q62" i="6" l="1"/>
  <c r="R62" i="6"/>
  <c r="U62" i="6" s="1"/>
  <c r="V62" i="6" s="1"/>
  <c r="C63" i="3"/>
  <c r="Q63" i="6" l="1"/>
  <c r="R63" i="6"/>
  <c r="U63" i="6" s="1"/>
  <c r="V63" i="6" s="1"/>
  <c r="C64" i="3"/>
  <c r="Q64" i="6" l="1"/>
  <c r="R64" i="6"/>
  <c r="U64" i="6" s="1"/>
  <c r="V64" i="6" s="1"/>
  <c r="C65" i="3"/>
  <c r="Q65" i="6" l="1"/>
  <c r="R65" i="6"/>
  <c r="U65" i="6" s="1"/>
  <c r="V65" i="6" s="1"/>
  <c r="C66" i="3"/>
  <c r="Q66" i="6" l="1"/>
  <c r="R66" i="6"/>
  <c r="U66" i="6" s="1"/>
  <c r="V66" i="6" s="1"/>
  <c r="C67" i="3"/>
  <c r="Q67" i="6" l="1"/>
  <c r="R67" i="6"/>
  <c r="U67" i="6" s="1"/>
  <c r="V67" i="6" s="1"/>
  <c r="C68" i="3"/>
  <c r="Q68" i="6" l="1"/>
  <c r="R68" i="6"/>
  <c r="U68" i="6" s="1"/>
  <c r="V68" i="6" s="1"/>
  <c r="C69" i="3"/>
  <c r="Q69" i="6" l="1"/>
  <c r="R69" i="6"/>
  <c r="U69" i="6" s="1"/>
  <c r="V69" i="6" s="1"/>
  <c r="C70" i="3"/>
  <c r="Q70" i="6" l="1"/>
  <c r="R70" i="6"/>
  <c r="U70" i="6" s="1"/>
  <c r="V70" i="6" s="1"/>
  <c r="C71" i="3"/>
  <c r="Q71" i="6" l="1"/>
  <c r="R71" i="6"/>
  <c r="U71" i="6" s="1"/>
  <c r="V71" i="6" s="1"/>
  <c r="C72" i="3"/>
  <c r="Q72" i="6" l="1"/>
  <c r="R72" i="6"/>
  <c r="U72" i="6" s="1"/>
  <c r="V72" i="6" s="1"/>
  <c r="C73" i="3"/>
  <c r="Q73" i="6" l="1"/>
  <c r="R73" i="6"/>
  <c r="U73" i="6" s="1"/>
  <c r="V73" i="6" s="1"/>
  <c r="C74" i="3"/>
  <c r="Q74" i="6" l="1"/>
  <c r="R74" i="6"/>
  <c r="U74" i="6" s="1"/>
  <c r="V74" i="6" s="1"/>
  <c r="C75" i="3"/>
  <c r="Q75" i="6" l="1"/>
  <c r="R75" i="6"/>
  <c r="U75" i="6" s="1"/>
  <c r="V75" i="6" s="1"/>
  <c r="C76" i="3"/>
  <c r="K34" i="3"/>
  <c r="Q76" i="6" l="1"/>
  <c r="R76" i="6"/>
  <c r="U76" i="6" s="1"/>
  <c r="V76" i="6" s="1"/>
  <c r="C77" i="3"/>
  <c r="Q77" i="6" l="1"/>
  <c r="R77" i="6"/>
  <c r="U77" i="6" s="1"/>
  <c r="V77" i="6" s="1"/>
  <c r="C78" i="3"/>
  <c r="R78" i="6" l="1"/>
  <c r="U78" i="6" s="1"/>
  <c r="V78" i="6" s="1"/>
  <c r="Q78" i="6"/>
  <c r="C79" i="3"/>
  <c r="R79" i="6" l="1"/>
  <c r="U79" i="6" s="1"/>
  <c r="V79" i="6" s="1"/>
  <c r="Q79" i="6"/>
  <c r="C80" i="3"/>
  <c r="R80" i="6" l="1"/>
  <c r="U80" i="6" s="1"/>
  <c r="V80" i="6" s="1"/>
  <c r="Q80" i="6"/>
  <c r="C81" i="3"/>
  <c r="R81" i="6" l="1"/>
  <c r="U81" i="6" s="1"/>
  <c r="V81" i="6" s="1"/>
  <c r="Q81" i="6"/>
  <c r="C82" i="3"/>
  <c r="R82" i="6" l="1"/>
  <c r="U82" i="6" s="1"/>
  <c r="V82" i="6" s="1"/>
  <c r="Q82" i="6"/>
  <c r="C83" i="3"/>
  <c r="R83" i="6" l="1"/>
  <c r="U83" i="6" s="1"/>
  <c r="V83" i="6" s="1"/>
  <c r="Q83" i="6"/>
  <c r="C84" i="3"/>
  <c r="C85" i="3" l="1"/>
  <c r="R84" i="6"/>
  <c r="U84" i="6" s="1"/>
  <c r="V84" i="6" s="1"/>
  <c r="Q84" i="6"/>
  <c r="R85" i="6" l="1"/>
  <c r="U85" i="6" s="1"/>
  <c r="V85" i="6" s="1"/>
  <c r="Q85" i="6"/>
  <c r="C86" i="3"/>
  <c r="R86" i="6" l="1"/>
  <c r="U86" i="6" s="1"/>
  <c r="V86" i="6" s="1"/>
  <c r="Q86" i="6"/>
  <c r="C87" i="3"/>
  <c r="R87" i="6" l="1"/>
  <c r="U87" i="6" s="1"/>
  <c r="V87" i="6" s="1"/>
  <c r="Q87" i="6"/>
  <c r="C88" i="3"/>
  <c r="R88" i="6" l="1"/>
  <c r="U88" i="6" s="1"/>
  <c r="V88" i="6" s="1"/>
  <c r="Q88" i="6"/>
  <c r="C89" i="3"/>
  <c r="R89" i="6" l="1"/>
  <c r="U89" i="6" s="1"/>
  <c r="V89" i="6" s="1"/>
  <c r="Q89" i="6"/>
  <c r="C90" i="3"/>
  <c r="R90" i="6" l="1"/>
  <c r="U90" i="6" s="1"/>
  <c r="V90" i="6" s="1"/>
  <c r="Q90" i="6"/>
  <c r="C91" i="3"/>
  <c r="R91" i="6" l="1"/>
  <c r="U91" i="6" s="1"/>
  <c r="V91" i="6" s="1"/>
  <c r="Q91" i="6"/>
  <c r="C92" i="3"/>
  <c r="R92" i="6" l="1"/>
  <c r="U92" i="6" s="1"/>
  <c r="V92" i="6" s="1"/>
  <c r="Q92" i="6"/>
  <c r="C93" i="3"/>
  <c r="R93" i="6" l="1"/>
  <c r="U93" i="6" s="1"/>
  <c r="V93" i="6" s="1"/>
  <c r="Q93" i="6"/>
  <c r="C94" i="3"/>
  <c r="R94" i="6" l="1"/>
  <c r="U94" i="6" s="1"/>
  <c r="V94" i="6" s="1"/>
  <c r="Q94" i="6"/>
  <c r="C95" i="3"/>
  <c r="R95" i="6" l="1"/>
  <c r="U95" i="6" s="1"/>
  <c r="V95" i="6" s="1"/>
  <c r="Q95" i="6"/>
  <c r="C96" i="3"/>
  <c r="R96" i="6" l="1"/>
  <c r="U96" i="6" s="1"/>
  <c r="V96" i="6" s="1"/>
  <c r="Q96" i="6"/>
  <c r="C97" i="3"/>
  <c r="R97" i="6" l="1"/>
  <c r="U97" i="6" s="1"/>
  <c r="V97" i="6" s="1"/>
  <c r="Q97" i="6"/>
  <c r="C98" i="3"/>
  <c r="R98" i="6" l="1"/>
  <c r="U98" i="6" s="1"/>
  <c r="V98" i="6" s="1"/>
  <c r="Q98" i="6"/>
  <c r="C99" i="3"/>
  <c r="R99" i="6" l="1"/>
  <c r="U99" i="6" s="1"/>
  <c r="V99" i="6" s="1"/>
  <c r="Q99" i="6"/>
  <c r="C100" i="3"/>
  <c r="R100" i="6" l="1"/>
  <c r="U100" i="6" s="1"/>
  <c r="V100" i="6" s="1"/>
  <c r="Q100" i="6"/>
  <c r="C101" i="3"/>
  <c r="R101" i="6" l="1"/>
  <c r="U101" i="6" s="1"/>
  <c r="V101" i="6" s="1"/>
  <c r="Q101" i="6"/>
  <c r="C102" i="3"/>
  <c r="R102" i="6" l="1"/>
  <c r="U102" i="6" s="1"/>
  <c r="V102" i="6" s="1"/>
  <c r="Q102" i="6"/>
  <c r="C103" i="3"/>
  <c r="R103" i="6" l="1"/>
  <c r="U103" i="6" s="1"/>
  <c r="V103" i="6" s="1"/>
  <c r="Q103" i="6"/>
  <c r="C104" i="3"/>
  <c r="R104" i="6" l="1"/>
  <c r="U104" i="6" s="1"/>
  <c r="V104" i="6" s="1"/>
  <c r="Q104" i="6"/>
  <c r="C105" i="3"/>
  <c r="R105" i="6" l="1"/>
  <c r="U105" i="6" s="1"/>
  <c r="V105" i="6" s="1"/>
  <c r="Q105" i="6"/>
  <c r="C106" i="3"/>
  <c r="R106" i="6" l="1"/>
  <c r="U106" i="6" s="1"/>
  <c r="V106" i="6" s="1"/>
  <c r="Q106" i="6"/>
  <c r="C107" i="3"/>
  <c r="R107" i="6" l="1"/>
  <c r="U107" i="6" s="1"/>
  <c r="V107" i="6" s="1"/>
  <c r="Q107" i="6"/>
  <c r="C108" i="3"/>
  <c r="R108" i="6" l="1"/>
  <c r="U108" i="6" s="1"/>
  <c r="V108" i="6" s="1"/>
  <c r="Q108" i="6"/>
  <c r="C109" i="3"/>
  <c r="R109" i="6" l="1"/>
  <c r="U109" i="6" s="1"/>
  <c r="V109" i="6" s="1"/>
  <c r="Q109" i="6"/>
  <c r="C110" i="3"/>
  <c r="R110" i="6" l="1"/>
  <c r="U110" i="6" s="1"/>
  <c r="V110" i="6" s="1"/>
  <c r="Q110" i="6"/>
  <c r="C111" i="3"/>
  <c r="R111" i="6" l="1"/>
  <c r="U111" i="6" s="1"/>
  <c r="V111" i="6" s="1"/>
  <c r="Q111" i="6"/>
  <c r="C112" i="3"/>
  <c r="R112" i="6" l="1"/>
  <c r="U112" i="6" s="1"/>
  <c r="V112" i="6" s="1"/>
  <c r="Q112" i="6"/>
  <c r="C113" i="3"/>
  <c r="R113" i="6" l="1"/>
  <c r="U113" i="6" s="1"/>
  <c r="V113" i="6" s="1"/>
  <c r="Q113" i="6"/>
  <c r="C114" i="3"/>
  <c r="R114" i="6" l="1"/>
  <c r="U114" i="6" s="1"/>
  <c r="V114" i="6" s="1"/>
  <c r="Q114" i="6"/>
  <c r="C115" i="3"/>
  <c r="Q115" i="6" l="1"/>
  <c r="R115" i="6"/>
  <c r="U115" i="6" s="1"/>
  <c r="V115" i="6" s="1"/>
  <c r="C116" i="3"/>
  <c r="Q116" i="6" l="1"/>
  <c r="R116" i="6"/>
  <c r="U116" i="6" s="1"/>
  <c r="V116" i="6" s="1"/>
  <c r="C117" i="3"/>
  <c r="Q117" i="6" l="1"/>
  <c r="R117" i="6"/>
  <c r="U117" i="6" s="1"/>
  <c r="V117" i="6" s="1"/>
  <c r="C118" i="3"/>
  <c r="C119" i="3" l="1"/>
  <c r="Q118" i="6"/>
  <c r="R118" i="6"/>
  <c r="U118" i="6" s="1"/>
  <c r="V118" i="6" s="1"/>
  <c r="C120" i="3" l="1"/>
  <c r="Q119" i="6"/>
  <c r="R119" i="6"/>
  <c r="U119" i="6" s="1"/>
  <c r="V119" i="6" s="1"/>
  <c r="C121" i="3" l="1"/>
  <c r="Q120" i="6"/>
  <c r="R120" i="6"/>
  <c r="U120" i="6" s="1"/>
  <c r="V120" i="6" s="1"/>
  <c r="C122" i="3" l="1"/>
  <c r="Q121" i="6"/>
  <c r="R121" i="6"/>
  <c r="U121" i="6" s="1"/>
  <c r="V121" i="6" s="1"/>
  <c r="C123" i="3" l="1"/>
  <c r="Q122" i="6"/>
  <c r="R122" i="6"/>
  <c r="U122" i="6" s="1"/>
  <c r="V122" i="6" s="1"/>
  <c r="C124" i="3" l="1"/>
  <c r="Q123" i="6"/>
  <c r="R123" i="6"/>
  <c r="U123" i="6" s="1"/>
  <c r="V123" i="6" s="1"/>
  <c r="C125" i="3" l="1"/>
  <c r="Q124" i="6"/>
  <c r="R124" i="6"/>
  <c r="U124" i="6" s="1"/>
  <c r="V124" i="6" s="1"/>
  <c r="C126" i="3" l="1"/>
  <c r="Q125" i="6"/>
  <c r="R125" i="6"/>
  <c r="U125" i="6" s="1"/>
  <c r="V125" i="6" s="1"/>
  <c r="C127" i="3" l="1"/>
  <c r="Q126" i="6"/>
  <c r="R126" i="6"/>
  <c r="U126" i="6" s="1"/>
  <c r="V126" i="6" s="1"/>
  <c r="C128" i="3" l="1"/>
  <c r="Q127" i="6"/>
  <c r="R127" i="6"/>
  <c r="U127" i="6" s="1"/>
  <c r="V127" i="6" s="1"/>
  <c r="C129" i="3" l="1"/>
  <c r="Q128" i="6"/>
  <c r="R128" i="6"/>
  <c r="U128" i="6" s="1"/>
  <c r="V128" i="6" s="1"/>
  <c r="C130" i="3" l="1"/>
  <c r="Q129" i="6"/>
  <c r="R129" i="6"/>
  <c r="U129" i="6" s="1"/>
  <c r="V129" i="6" s="1"/>
  <c r="C131" i="3" l="1"/>
  <c r="Q130" i="6"/>
  <c r="R130" i="6"/>
  <c r="U130" i="6" s="1"/>
  <c r="V130" i="6" s="1"/>
  <c r="C132" i="3" l="1"/>
  <c r="Q131" i="6"/>
  <c r="R131" i="6"/>
  <c r="U131" i="6" s="1"/>
  <c r="V131" i="6" s="1"/>
  <c r="C133" i="3" l="1"/>
  <c r="Q132" i="6"/>
  <c r="R132" i="6"/>
  <c r="U132" i="6" s="1"/>
  <c r="V132" i="6" s="1"/>
  <c r="C134" i="3" l="1"/>
  <c r="Q133" i="6"/>
  <c r="R133" i="6"/>
  <c r="U133" i="6" s="1"/>
  <c r="V133" i="6" s="1"/>
  <c r="C135" i="3" l="1"/>
  <c r="D135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Q134" i="6"/>
  <c r="G134" i="6"/>
  <c r="R134" i="6"/>
  <c r="U134" i="6" s="1"/>
  <c r="V134" i="6" s="1"/>
  <c r="Q135" i="6" l="1"/>
  <c r="G135" i="6"/>
  <c r="H135" i="6" s="1"/>
  <c r="R135" i="6"/>
  <c r="U135" i="6" s="1"/>
  <c r="V135" i="6" s="1"/>
  <c r="P9" i="6" s="1"/>
  <c r="H30" i="3"/>
  <c r="E135" i="3" s="1"/>
  <c r="G18" i="6"/>
  <c r="H18" i="6" s="1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H133" i="6" l="1"/>
  <c r="H131" i="6"/>
  <c r="H129" i="6"/>
  <c r="H127" i="6"/>
  <c r="H125" i="6"/>
  <c r="H123" i="6"/>
  <c r="H121" i="6"/>
  <c r="H119" i="6"/>
  <c r="H117" i="6"/>
  <c r="H115" i="6"/>
  <c r="H113" i="6"/>
  <c r="H111" i="6"/>
  <c r="H109" i="6"/>
  <c r="H107" i="6"/>
  <c r="H105" i="6"/>
  <c r="H103" i="6"/>
  <c r="H101" i="6"/>
  <c r="H99" i="6"/>
  <c r="H97" i="6"/>
  <c r="H95" i="6"/>
  <c r="H93" i="6"/>
  <c r="H91" i="6"/>
  <c r="H89" i="6"/>
  <c r="H87" i="6"/>
  <c r="H85" i="6"/>
  <c r="H83" i="6"/>
  <c r="H81" i="6"/>
  <c r="H79" i="6"/>
  <c r="H77" i="6"/>
  <c r="H75" i="6"/>
  <c r="H73" i="6"/>
  <c r="H71" i="6"/>
  <c r="H69" i="6"/>
  <c r="H67" i="6"/>
  <c r="H65" i="6"/>
  <c r="H63" i="6"/>
  <c r="H61" i="6"/>
  <c r="H59" i="6"/>
  <c r="H57" i="6"/>
  <c r="H55" i="6"/>
  <c r="H53" i="6"/>
  <c r="H51" i="6"/>
  <c r="H49" i="6"/>
  <c r="H47" i="6"/>
  <c r="H45" i="6"/>
  <c r="H43" i="6"/>
  <c r="H41" i="6"/>
  <c r="H39" i="6"/>
  <c r="H37" i="6"/>
  <c r="H35" i="6"/>
  <c r="H33" i="6"/>
  <c r="H31" i="6"/>
  <c r="H29" i="6"/>
  <c r="H27" i="6"/>
  <c r="H25" i="6"/>
  <c r="H23" i="6"/>
  <c r="H21" i="6"/>
  <c r="H19" i="6"/>
  <c r="H132" i="6"/>
  <c r="H130" i="6"/>
  <c r="H128" i="6"/>
  <c r="H126" i="6"/>
  <c r="H124" i="6"/>
  <c r="H122" i="6"/>
  <c r="H120" i="6"/>
  <c r="H118" i="6"/>
  <c r="H116" i="6"/>
  <c r="H114" i="6"/>
  <c r="H112" i="6"/>
  <c r="H110" i="6"/>
  <c r="H108" i="6"/>
  <c r="H106" i="6"/>
  <c r="H104" i="6"/>
  <c r="H102" i="6"/>
  <c r="H100" i="6"/>
  <c r="H98" i="6"/>
  <c r="H96" i="6"/>
  <c r="H94" i="6"/>
  <c r="H92" i="6"/>
  <c r="H90" i="6"/>
  <c r="H88" i="6"/>
  <c r="H86" i="6"/>
  <c r="H84" i="6"/>
  <c r="H82" i="6"/>
  <c r="H80" i="6"/>
  <c r="H78" i="6"/>
  <c r="H76" i="6"/>
  <c r="H74" i="6"/>
  <c r="H72" i="6"/>
  <c r="H70" i="6"/>
  <c r="H68" i="6"/>
  <c r="H66" i="6"/>
  <c r="H64" i="6"/>
  <c r="H62" i="6"/>
  <c r="H60" i="6"/>
  <c r="H58" i="6"/>
  <c r="H56" i="6"/>
  <c r="H54" i="6"/>
  <c r="H52" i="6"/>
  <c r="H50" i="6"/>
  <c r="H48" i="6"/>
  <c r="H46" i="6"/>
  <c r="H44" i="6"/>
  <c r="H42" i="6"/>
  <c r="H40" i="6"/>
  <c r="H38" i="6"/>
  <c r="H36" i="6"/>
  <c r="H34" i="6"/>
  <c r="H32" i="6"/>
  <c r="H30" i="6"/>
  <c r="H28" i="6"/>
  <c r="H26" i="6"/>
  <c r="H24" i="6"/>
  <c r="H22" i="6"/>
  <c r="H20" i="6"/>
  <c r="D21" i="6"/>
  <c r="C21" i="6"/>
  <c r="C22" i="6"/>
  <c r="AO26" i="6"/>
  <c r="D22" i="6"/>
  <c r="D23" i="6"/>
  <c r="C23" i="6"/>
  <c r="C26" i="6"/>
  <c r="D26" i="6"/>
  <c r="D27" i="6"/>
  <c r="C27" i="6"/>
  <c r="C28" i="6"/>
  <c r="D28" i="6"/>
  <c r="C43" i="6"/>
  <c r="D43" i="6"/>
  <c r="C44" i="6"/>
  <c r="D44" i="6"/>
  <c r="C45" i="6"/>
  <c r="D45" i="6"/>
  <c r="C46" i="6"/>
  <c r="D46" i="6"/>
  <c r="C47" i="6"/>
  <c r="D47" i="6"/>
  <c r="AO22" i="6"/>
  <c r="C48" i="6"/>
  <c r="D48" i="6"/>
  <c r="C49" i="6"/>
  <c r="D49" i="6"/>
  <c r="C50" i="6"/>
  <c r="D50" i="6"/>
  <c r="C51" i="6"/>
  <c r="D51" i="6"/>
  <c r="C52" i="6"/>
  <c r="D52" i="6"/>
  <c r="C53" i="6"/>
  <c r="D53" i="6"/>
  <c r="C54" i="6"/>
  <c r="D54" i="6"/>
  <c r="C55" i="6"/>
  <c r="D55" i="6"/>
  <c r="AO21" i="6"/>
  <c r="C56" i="6"/>
  <c r="D56" i="6"/>
  <c r="C70" i="6"/>
  <c r="D70" i="6"/>
  <c r="C72" i="6"/>
  <c r="D72" i="6"/>
  <c r="C77" i="6"/>
  <c r="D77" i="6"/>
  <c r="D81" i="6"/>
  <c r="C81" i="6"/>
  <c r="AO17" i="6"/>
  <c r="D82" i="6"/>
  <c r="C82" i="6"/>
  <c r="D83" i="6"/>
  <c r="C83" i="6"/>
  <c r="D85" i="6"/>
  <c r="C85" i="6"/>
  <c r="D87" i="6"/>
  <c r="C87" i="6"/>
  <c r="D89" i="6"/>
  <c r="C89" i="6"/>
  <c r="D90" i="6"/>
  <c r="C90" i="6"/>
  <c r="D93" i="6"/>
  <c r="C93" i="6"/>
  <c r="D94" i="6"/>
  <c r="C94" i="6"/>
  <c r="D96" i="6"/>
  <c r="C96" i="6"/>
  <c r="D100" i="6"/>
  <c r="C100" i="6"/>
  <c r="D101" i="6"/>
  <c r="C101" i="6"/>
  <c r="D103" i="6"/>
  <c r="C103" i="6"/>
  <c r="D104" i="6"/>
  <c r="C104" i="6"/>
  <c r="D105" i="6"/>
  <c r="C105" i="6"/>
  <c r="D106" i="6"/>
  <c r="C106" i="6"/>
  <c r="D107" i="6"/>
  <c r="C107" i="6"/>
  <c r="AO13" i="6"/>
  <c r="D108" i="6"/>
  <c r="C108" i="6"/>
  <c r="D109" i="6"/>
  <c r="C109" i="6"/>
  <c r="D110" i="6"/>
  <c r="C110" i="6"/>
  <c r="D111" i="6"/>
  <c r="C111" i="6"/>
  <c r="D112" i="6"/>
  <c r="C112" i="6"/>
  <c r="D114" i="6"/>
  <c r="C114" i="6"/>
  <c r="C116" i="6"/>
  <c r="D116" i="6"/>
  <c r="C118" i="6"/>
  <c r="D118" i="6"/>
  <c r="C119" i="6"/>
  <c r="D119" i="6"/>
  <c r="C120" i="6"/>
  <c r="D120" i="6"/>
  <c r="AO11" i="6"/>
  <c r="C121" i="6"/>
  <c r="D121" i="6"/>
  <c r="C122" i="6"/>
  <c r="D122" i="6"/>
  <c r="C123" i="6"/>
  <c r="D123" i="6"/>
  <c r="C124" i="6"/>
  <c r="D124" i="6"/>
  <c r="C125" i="6"/>
  <c r="D125" i="6"/>
  <c r="AO10" i="6"/>
  <c r="C126" i="6"/>
  <c r="D126" i="6"/>
  <c r="C127" i="6"/>
  <c r="D127" i="6"/>
  <c r="C128" i="6"/>
  <c r="D128" i="6"/>
  <c r="C129" i="6"/>
  <c r="D129" i="6"/>
  <c r="C130" i="6"/>
  <c r="D130" i="6"/>
  <c r="C131" i="6"/>
  <c r="D131" i="6"/>
  <c r="C132" i="6"/>
  <c r="D132" i="6"/>
  <c r="C134" i="6"/>
  <c r="D134" i="6"/>
  <c r="C135" i="6"/>
  <c r="D135" i="6"/>
  <c r="AO8" i="6"/>
  <c r="H134" i="6"/>
  <c r="C65" i="6"/>
  <c r="D65" i="6"/>
  <c r="C66" i="6"/>
  <c r="D66" i="6"/>
  <c r="C67" i="6"/>
  <c r="D67" i="6"/>
  <c r="C68" i="6"/>
  <c r="D68" i="6"/>
  <c r="AO19" i="6"/>
  <c r="C69" i="6"/>
  <c r="D69" i="6"/>
  <c r="C71" i="6"/>
  <c r="D71" i="6"/>
  <c r="C73" i="6"/>
  <c r="D73" i="6"/>
  <c r="AO18" i="6"/>
  <c r="C74" i="6"/>
  <c r="D74" i="6"/>
  <c r="C75" i="6"/>
  <c r="D75" i="6"/>
  <c r="C76" i="6"/>
  <c r="D76" i="6"/>
  <c r="C78" i="6"/>
  <c r="D78" i="6"/>
  <c r="D79" i="6"/>
  <c r="C79" i="6"/>
  <c r="D80" i="6"/>
  <c r="C80" i="6"/>
  <c r="D84" i="6"/>
  <c r="C84" i="6"/>
  <c r="D86" i="6"/>
  <c r="C86" i="6"/>
  <c r="D88" i="6"/>
  <c r="C88" i="6"/>
  <c r="D91" i="6"/>
  <c r="C91" i="6"/>
  <c r="AO16" i="6"/>
  <c r="D92" i="6"/>
  <c r="C92" i="6"/>
  <c r="D95" i="6"/>
  <c r="C95" i="6"/>
  <c r="AO15" i="6"/>
  <c r="D97" i="6"/>
  <c r="C97" i="6"/>
  <c r="D98" i="6"/>
  <c r="C98" i="6"/>
  <c r="D99" i="6"/>
  <c r="C99" i="6"/>
  <c r="AO14" i="6"/>
  <c r="D102" i="6"/>
  <c r="C102" i="6"/>
  <c r="D113" i="6"/>
  <c r="C113" i="6"/>
  <c r="D115" i="6"/>
  <c r="C115" i="6"/>
  <c r="C117" i="6"/>
  <c r="D117" i="6"/>
  <c r="AO12" i="6"/>
  <c r="C133" i="6"/>
  <c r="D133" i="6"/>
  <c r="AO9" i="6"/>
  <c r="K30" i="3"/>
  <c r="M10" i="3" s="1"/>
  <c r="P10" i="6" s="1"/>
  <c r="K133" i="6" s="1"/>
  <c r="J30" i="3"/>
  <c r="L30" i="3" s="1"/>
  <c r="M11" i="3" s="1"/>
  <c r="P11" i="6" s="1"/>
  <c r="E18" i="3"/>
  <c r="F18" i="3" s="1"/>
  <c r="J18" i="6" s="1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O4" i="5"/>
  <c r="O4" i="4"/>
  <c r="M9" i="3"/>
  <c r="K21" i="6"/>
  <c r="K70" i="6"/>
  <c r="K54" i="6"/>
  <c r="K35" i="6"/>
  <c r="AO27" i="6"/>
  <c r="AP27" i="6" s="1"/>
  <c r="C18" i="6"/>
  <c r="D18" i="6"/>
  <c r="D19" i="6"/>
  <c r="C19" i="6"/>
  <c r="C20" i="6"/>
  <c r="D20" i="6"/>
  <c r="C24" i="6"/>
  <c r="D24" i="6"/>
  <c r="D25" i="6"/>
  <c r="C25" i="6"/>
  <c r="C29" i="6"/>
  <c r="AO25" i="6"/>
  <c r="D29" i="6"/>
  <c r="C30" i="6"/>
  <c r="D30" i="6"/>
  <c r="C31" i="6"/>
  <c r="D31" i="6"/>
  <c r="C32" i="6"/>
  <c r="D32" i="6"/>
  <c r="C33" i="6"/>
  <c r="D33" i="6"/>
  <c r="C34" i="6"/>
  <c r="D34" i="6"/>
  <c r="C35" i="6"/>
  <c r="D35" i="6"/>
  <c r="C36" i="6"/>
  <c r="D36" i="6"/>
  <c r="C37" i="6"/>
  <c r="D37" i="6"/>
  <c r="C38" i="6"/>
  <c r="D38" i="6"/>
  <c r="C39" i="6"/>
  <c r="D39" i="6"/>
  <c r="AO24" i="6"/>
  <c r="C40" i="6"/>
  <c r="D40" i="6"/>
  <c r="C41" i="6"/>
  <c r="D41" i="6"/>
  <c r="C42" i="6"/>
  <c r="D42" i="6"/>
  <c r="AO23" i="6"/>
  <c r="C57" i="6"/>
  <c r="D57" i="6"/>
  <c r="C58" i="6"/>
  <c r="D58" i="6"/>
  <c r="C59" i="6"/>
  <c r="D59" i="6"/>
  <c r="C60" i="6"/>
  <c r="D60" i="6"/>
  <c r="C61" i="6"/>
  <c r="D61" i="6"/>
  <c r="C62" i="6"/>
  <c r="D62" i="6"/>
  <c r="C63" i="6"/>
  <c r="D63" i="6"/>
  <c r="C64" i="6"/>
  <c r="D64" i="6"/>
  <c r="AO20" i="6"/>
  <c r="K85" i="6" l="1"/>
  <c r="K38" i="6"/>
  <c r="K120" i="6"/>
  <c r="K135" i="6"/>
  <c r="K67" i="6"/>
  <c r="K104" i="6"/>
  <c r="K103" i="6"/>
  <c r="AP12" i="6"/>
  <c r="AP24" i="6"/>
  <c r="K22" i="6"/>
  <c r="K88" i="6"/>
  <c r="K53" i="6"/>
  <c r="AP16" i="6"/>
  <c r="K119" i="6"/>
  <c r="K19" i="6"/>
  <c r="K51" i="6"/>
  <c r="K83" i="6"/>
  <c r="K30" i="6"/>
  <c r="K46" i="6"/>
  <c r="K62" i="6"/>
  <c r="K80" i="6"/>
  <c r="K96" i="6"/>
  <c r="K112" i="6"/>
  <c r="K128" i="6"/>
  <c r="K37" i="6"/>
  <c r="K69" i="6"/>
  <c r="K95" i="6"/>
  <c r="K111" i="6"/>
  <c r="K127" i="6"/>
  <c r="AP25" i="6"/>
  <c r="AP20" i="6"/>
  <c r="K27" i="6"/>
  <c r="K43" i="6"/>
  <c r="K59" i="6"/>
  <c r="K75" i="6"/>
  <c r="K18" i="6"/>
  <c r="K26" i="6"/>
  <c r="K34" i="6"/>
  <c r="K42" i="6"/>
  <c r="K50" i="6"/>
  <c r="K58" i="6"/>
  <c r="K66" i="6"/>
  <c r="K74" i="6"/>
  <c r="K84" i="6"/>
  <c r="K92" i="6"/>
  <c r="K100" i="6"/>
  <c r="K108" i="6"/>
  <c r="K116" i="6"/>
  <c r="K124" i="6"/>
  <c r="K132" i="6"/>
  <c r="K29" i="6"/>
  <c r="K45" i="6"/>
  <c r="K61" i="6"/>
  <c r="K77" i="6"/>
  <c r="K91" i="6"/>
  <c r="K99" i="6"/>
  <c r="K107" i="6"/>
  <c r="K115" i="6"/>
  <c r="K123" i="6"/>
  <c r="K131" i="6"/>
  <c r="AC17" i="6"/>
  <c r="AP10" i="6"/>
  <c r="AP21" i="6"/>
  <c r="S64" i="6"/>
  <c r="W64" i="6" s="1"/>
  <c r="AP23" i="6"/>
  <c r="K78" i="6"/>
  <c r="K23" i="6"/>
  <c r="K31" i="6"/>
  <c r="K39" i="6"/>
  <c r="K47" i="6"/>
  <c r="K55" i="6"/>
  <c r="K63" i="6"/>
  <c r="K71" i="6"/>
  <c r="K79" i="6"/>
  <c r="K87" i="6"/>
  <c r="K20" i="6"/>
  <c r="K24" i="6"/>
  <c r="K28" i="6"/>
  <c r="K32" i="6"/>
  <c r="K36" i="6"/>
  <c r="K40" i="6"/>
  <c r="K44" i="6"/>
  <c r="K48" i="6"/>
  <c r="K52" i="6"/>
  <c r="K56" i="6"/>
  <c r="K60" i="6"/>
  <c r="K64" i="6"/>
  <c r="K68" i="6"/>
  <c r="K72" i="6"/>
  <c r="K76" i="6"/>
  <c r="K82" i="6"/>
  <c r="K86" i="6"/>
  <c r="K90" i="6"/>
  <c r="K94" i="6"/>
  <c r="K98" i="6"/>
  <c r="K102" i="6"/>
  <c r="K106" i="6"/>
  <c r="K110" i="6"/>
  <c r="K114" i="6"/>
  <c r="K118" i="6"/>
  <c r="K122" i="6"/>
  <c r="K126" i="6"/>
  <c r="K130" i="6"/>
  <c r="K134" i="6"/>
  <c r="K25" i="6"/>
  <c r="K33" i="6"/>
  <c r="K41" i="6"/>
  <c r="K49" i="6"/>
  <c r="K57" i="6"/>
  <c r="K65" i="6"/>
  <c r="K73" i="6"/>
  <c r="K81" i="6"/>
  <c r="K89" i="6"/>
  <c r="K93" i="6"/>
  <c r="K97" i="6"/>
  <c r="K101" i="6"/>
  <c r="K105" i="6"/>
  <c r="K109" i="6"/>
  <c r="K113" i="6"/>
  <c r="K117" i="6"/>
  <c r="K121" i="6"/>
  <c r="K125" i="6"/>
  <c r="K129" i="6"/>
  <c r="F133" i="3"/>
  <c r="J133" i="6" s="1"/>
  <c r="F131" i="3"/>
  <c r="J131" i="6" s="1"/>
  <c r="F129" i="3"/>
  <c r="J129" i="6" s="1"/>
  <c r="F127" i="3"/>
  <c r="J127" i="6" s="1"/>
  <c r="F125" i="3"/>
  <c r="J125" i="6" s="1"/>
  <c r="F123" i="3"/>
  <c r="J123" i="6" s="1"/>
  <c r="F121" i="3"/>
  <c r="J121" i="6" s="1"/>
  <c r="F119" i="3"/>
  <c r="J119" i="6" s="1"/>
  <c r="F117" i="3"/>
  <c r="J117" i="6" s="1"/>
  <c r="F115" i="3"/>
  <c r="J115" i="6" s="1"/>
  <c r="F113" i="3"/>
  <c r="J113" i="6" s="1"/>
  <c r="F111" i="3"/>
  <c r="J111" i="6" s="1"/>
  <c r="F109" i="3"/>
  <c r="J109" i="6" s="1"/>
  <c r="F107" i="3"/>
  <c r="J107" i="6" s="1"/>
  <c r="F105" i="3"/>
  <c r="J105" i="6" s="1"/>
  <c r="F103" i="3"/>
  <c r="J103" i="6" s="1"/>
  <c r="F101" i="3"/>
  <c r="J101" i="6" s="1"/>
  <c r="F99" i="3"/>
  <c r="J99" i="6" s="1"/>
  <c r="F97" i="3"/>
  <c r="J97" i="6" s="1"/>
  <c r="F95" i="3"/>
  <c r="J95" i="6" s="1"/>
  <c r="F93" i="3"/>
  <c r="J93" i="6" s="1"/>
  <c r="F91" i="3"/>
  <c r="J91" i="6" s="1"/>
  <c r="F89" i="3"/>
  <c r="J89" i="6" s="1"/>
  <c r="F87" i="3"/>
  <c r="J87" i="6" s="1"/>
  <c r="F85" i="3"/>
  <c r="J85" i="6" s="1"/>
  <c r="F83" i="3"/>
  <c r="J83" i="6" s="1"/>
  <c r="F81" i="3"/>
  <c r="J81" i="6" s="1"/>
  <c r="F79" i="3"/>
  <c r="J79" i="6" s="1"/>
  <c r="F77" i="3"/>
  <c r="J77" i="6" s="1"/>
  <c r="F75" i="3"/>
  <c r="J75" i="6" s="1"/>
  <c r="F73" i="3"/>
  <c r="J73" i="6" s="1"/>
  <c r="F71" i="3"/>
  <c r="J71" i="6" s="1"/>
  <c r="F69" i="3"/>
  <c r="J69" i="6" s="1"/>
  <c r="F67" i="3"/>
  <c r="J67" i="6" s="1"/>
  <c r="F65" i="3"/>
  <c r="J65" i="6" s="1"/>
  <c r="F63" i="3"/>
  <c r="J63" i="6" s="1"/>
  <c r="F61" i="3"/>
  <c r="J61" i="6" s="1"/>
  <c r="F59" i="3"/>
  <c r="J59" i="6" s="1"/>
  <c r="F57" i="3"/>
  <c r="J57" i="6" s="1"/>
  <c r="F55" i="3"/>
  <c r="J55" i="6" s="1"/>
  <c r="F53" i="3"/>
  <c r="J53" i="6" s="1"/>
  <c r="F51" i="3"/>
  <c r="J51" i="6" s="1"/>
  <c r="F49" i="3"/>
  <c r="J49" i="6" s="1"/>
  <c r="F47" i="3"/>
  <c r="J47" i="6" s="1"/>
  <c r="F45" i="3"/>
  <c r="J45" i="6" s="1"/>
  <c r="F43" i="3"/>
  <c r="J43" i="6" s="1"/>
  <c r="F41" i="3"/>
  <c r="J41" i="6" s="1"/>
  <c r="F39" i="3"/>
  <c r="J39" i="6" s="1"/>
  <c r="F37" i="3"/>
  <c r="J37" i="6" s="1"/>
  <c r="F35" i="3"/>
  <c r="J35" i="6" s="1"/>
  <c r="F33" i="3"/>
  <c r="J33" i="6" s="1"/>
  <c r="F31" i="3"/>
  <c r="J31" i="6" s="1"/>
  <c r="F29" i="3"/>
  <c r="J29" i="6" s="1"/>
  <c r="F27" i="3"/>
  <c r="J27" i="6" s="1"/>
  <c r="F25" i="3"/>
  <c r="J25" i="6" s="1"/>
  <c r="F23" i="3"/>
  <c r="J23" i="6" s="1"/>
  <c r="F21" i="3"/>
  <c r="J21" i="6" s="1"/>
  <c r="F19" i="3"/>
  <c r="J19" i="6" s="1"/>
  <c r="AP9" i="6"/>
  <c r="AP14" i="6"/>
  <c r="S63" i="6"/>
  <c r="W63" i="6" s="1"/>
  <c r="S62" i="6"/>
  <c r="W62" i="6" s="1"/>
  <c r="S61" i="6"/>
  <c r="W61" i="6" s="1"/>
  <c r="S60" i="6"/>
  <c r="W60" i="6" s="1"/>
  <c r="S59" i="6"/>
  <c r="W59" i="6" s="1"/>
  <c r="S58" i="6"/>
  <c r="W58" i="6" s="1"/>
  <c r="S57" i="6"/>
  <c r="W57" i="6" s="1"/>
  <c r="S39" i="6"/>
  <c r="W39" i="6" s="1"/>
  <c r="S38" i="6"/>
  <c r="W38" i="6" s="1"/>
  <c r="S37" i="6"/>
  <c r="W37" i="6" s="1"/>
  <c r="S36" i="6"/>
  <c r="W36" i="6" s="1"/>
  <c r="S35" i="6"/>
  <c r="W35" i="6" s="1"/>
  <c r="S34" i="6"/>
  <c r="W34" i="6" s="1"/>
  <c r="S33" i="6"/>
  <c r="W33" i="6" s="1"/>
  <c r="S32" i="6"/>
  <c r="W32" i="6" s="1"/>
  <c r="S31" i="6"/>
  <c r="W31" i="6" s="1"/>
  <c r="S30" i="6"/>
  <c r="W30" i="6" s="1"/>
  <c r="S29" i="6"/>
  <c r="W29" i="6" s="1"/>
  <c r="S25" i="6"/>
  <c r="W25" i="6" s="1"/>
  <c r="S19" i="6"/>
  <c r="W19" i="6" s="1"/>
  <c r="O6" i="5"/>
  <c r="O6" i="4"/>
  <c r="S117" i="6"/>
  <c r="W117" i="6" s="1"/>
  <c r="S99" i="6"/>
  <c r="W99" i="6" s="1"/>
  <c r="S98" i="6"/>
  <c r="W98" i="6" s="1"/>
  <c r="S97" i="6"/>
  <c r="W97" i="6" s="1"/>
  <c r="S91" i="6"/>
  <c r="W91" i="6" s="1"/>
  <c r="S88" i="6"/>
  <c r="W88" i="6" s="1"/>
  <c r="S86" i="6"/>
  <c r="W86" i="6" s="1"/>
  <c r="S84" i="6"/>
  <c r="W84" i="6" s="1"/>
  <c r="S80" i="6"/>
  <c r="W80" i="6" s="1"/>
  <c r="S79" i="6"/>
  <c r="W79" i="6" s="1"/>
  <c r="S73" i="6"/>
  <c r="W73" i="6" s="1"/>
  <c r="S71" i="6"/>
  <c r="W71" i="6" s="1"/>
  <c r="S69" i="6"/>
  <c r="W69" i="6" s="1"/>
  <c r="AP19" i="6"/>
  <c r="AP8" i="6"/>
  <c r="AP7" i="6"/>
  <c r="S125" i="6"/>
  <c r="W125" i="6" s="1"/>
  <c r="S124" i="6"/>
  <c r="W124" i="6" s="1"/>
  <c r="S123" i="6"/>
  <c r="W123" i="6" s="1"/>
  <c r="S122" i="6"/>
  <c r="W122" i="6" s="1"/>
  <c r="S121" i="6"/>
  <c r="W121" i="6" s="1"/>
  <c r="AP11" i="6"/>
  <c r="S114" i="6"/>
  <c r="W114" i="6" s="1"/>
  <c r="S112" i="6"/>
  <c r="W112" i="6" s="1"/>
  <c r="S111" i="6"/>
  <c r="W111" i="6" s="1"/>
  <c r="S110" i="6"/>
  <c r="W110" i="6" s="1"/>
  <c r="S109" i="6"/>
  <c r="W109" i="6" s="1"/>
  <c r="S108" i="6"/>
  <c r="W108" i="6" s="1"/>
  <c r="AP17" i="6"/>
  <c r="S81" i="6"/>
  <c r="W81" i="6" s="1"/>
  <c r="S55" i="6"/>
  <c r="W55" i="6" s="1"/>
  <c r="S54" i="6"/>
  <c r="W54" i="6" s="1"/>
  <c r="S53" i="6"/>
  <c r="W53" i="6" s="1"/>
  <c r="S52" i="6"/>
  <c r="W52" i="6" s="1"/>
  <c r="S51" i="6"/>
  <c r="W51" i="6" s="1"/>
  <c r="S50" i="6"/>
  <c r="W50" i="6" s="1"/>
  <c r="S49" i="6"/>
  <c r="W49" i="6" s="1"/>
  <c r="S48" i="6"/>
  <c r="W48" i="6" s="1"/>
  <c r="AP22" i="6"/>
  <c r="S27" i="6"/>
  <c r="W27" i="6" s="1"/>
  <c r="S23" i="6"/>
  <c r="W23" i="6" s="1"/>
  <c r="AP26" i="6"/>
  <c r="S42" i="6"/>
  <c r="W42" i="6" s="1"/>
  <c r="S41" i="6"/>
  <c r="W41" i="6" s="1"/>
  <c r="S40" i="6"/>
  <c r="W40" i="6" s="1"/>
  <c r="S24" i="6"/>
  <c r="W24" i="6" s="1"/>
  <c r="S20" i="6"/>
  <c r="W20" i="6" s="1"/>
  <c r="S18" i="6"/>
  <c r="W18" i="6" s="1"/>
  <c r="X18" i="6" s="1"/>
  <c r="F134" i="3"/>
  <c r="J134" i="6" s="1"/>
  <c r="F132" i="3"/>
  <c r="J132" i="6" s="1"/>
  <c r="F130" i="3"/>
  <c r="J130" i="6" s="1"/>
  <c r="F128" i="3"/>
  <c r="J128" i="6" s="1"/>
  <c r="F126" i="3"/>
  <c r="J126" i="6" s="1"/>
  <c r="F124" i="3"/>
  <c r="J124" i="6" s="1"/>
  <c r="F122" i="3"/>
  <c r="J122" i="6" s="1"/>
  <c r="F120" i="3"/>
  <c r="J120" i="6" s="1"/>
  <c r="F118" i="3"/>
  <c r="J118" i="6" s="1"/>
  <c r="F116" i="3"/>
  <c r="J116" i="6" s="1"/>
  <c r="F114" i="3"/>
  <c r="J114" i="6" s="1"/>
  <c r="F112" i="3"/>
  <c r="J112" i="6" s="1"/>
  <c r="F110" i="3"/>
  <c r="J110" i="6" s="1"/>
  <c r="F108" i="3"/>
  <c r="J108" i="6" s="1"/>
  <c r="F106" i="3"/>
  <c r="J106" i="6" s="1"/>
  <c r="F104" i="3"/>
  <c r="J104" i="6" s="1"/>
  <c r="F102" i="3"/>
  <c r="J102" i="6" s="1"/>
  <c r="F100" i="3"/>
  <c r="J100" i="6" s="1"/>
  <c r="F98" i="3"/>
  <c r="J98" i="6" s="1"/>
  <c r="F96" i="3"/>
  <c r="J96" i="6" s="1"/>
  <c r="F94" i="3"/>
  <c r="J94" i="6" s="1"/>
  <c r="F92" i="3"/>
  <c r="J92" i="6" s="1"/>
  <c r="F90" i="3"/>
  <c r="J90" i="6" s="1"/>
  <c r="F88" i="3"/>
  <c r="J88" i="6" s="1"/>
  <c r="F86" i="3"/>
  <c r="J86" i="6" s="1"/>
  <c r="F84" i="3"/>
  <c r="J84" i="6" s="1"/>
  <c r="F82" i="3"/>
  <c r="J82" i="6" s="1"/>
  <c r="F80" i="3"/>
  <c r="J80" i="6" s="1"/>
  <c r="F78" i="3"/>
  <c r="J78" i="6" s="1"/>
  <c r="F76" i="3"/>
  <c r="J76" i="6" s="1"/>
  <c r="F74" i="3"/>
  <c r="J74" i="6" s="1"/>
  <c r="F72" i="3"/>
  <c r="J72" i="6" s="1"/>
  <c r="F70" i="3"/>
  <c r="J70" i="6" s="1"/>
  <c r="F68" i="3"/>
  <c r="J68" i="6" s="1"/>
  <c r="F66" i="3"/>
  <c r="J66" i="6" s="1"/>
  <c r="F64" i="3"/>
  <c r="J64" i="6" s="1"/>
  <c r="F62" i="3"/>
  <c r="J62" i="6" s="1"/>
  <c r="F60" i="3"/>
  <c r="J60" i="6" s="1"/>
  <c r="F58" i="3"/>
  <c r="J58" i="6" s="1"/>
  <c r="F56" i="3"/>
  <c r="J56" i="6" s="1"/>
  <c r="F54" i="3"/>
  <c r="J54" i="6" s="1"/>
  <c r="F52" i="3"/>
  <c r="J52" i="6" s="1"/>
  <c r="F50" i="3"/>
  <c r="J50" i="6" s="1"/>
  <c r="F48" i="3"/>
  <c r="J48" i="6" s="1"/>
  <c r="F46" i="3"/>
  <c r="J46" i="6" s="1"/>
  <c r="F44" i="3"/>
  <c r="J44" i="6" s="1"/>
  <c r="F42" i="3"/>
  <c r="J42" i="6" s="1"/>
  <c r="F40" i="3"/>
  <c r="J40" i="6" s="1"/>
  <c r="F38" i="3"/>
  <c r="J38" i="6" s="1"/>
  <c r="F36" i="3"/>
  <c r="J36" i="6" s="1"/>
  <c r="F34" i="3"/>
  <c r="J34" i="6" s="1"/>
  <c r="F32" i="3"/>
  <c r="J32" i="6" s="1"/>
  <c r="F30" i="3"/>
  <c r="J30" i="6" s="1"/>
  <c r="F28" i="3"/>
  <c r="J28" i="6" s="1"/>
  <c r="F26" i="3"/>
  <c r="J26" i="6" s="1"/>
  <c r="F24" i="3"/>
  <c r="J24" i="6" s="1"/>
  <c r="F22" i="3"/>
  <c r="J22" i="6" s="1"/>
  <c r="F20" i="3"/>
  <c r="J20" i="6" s="1"/>
  <c r="O5" i="5"/>
  <c r="O5" i="4"/>
  <c r="S133" i="6"/>
  <c r="W133" i="6" s="1"/>
  <c r="S115" i="6"/>
  <c r="W115" i="6" s="1"/>
  <c r="S113" i="6"/>
  <c r="W113" i="6" s="1"/>
  <c r="S102" i="6"/>
  <c r="W102" i="6" s="1"/>
  <c r="AP15" i="6"/>
  <c r="S95" i="6"/>
  <c r="W95" i="6" s="1"/>
  <c r="S92" i="6"/>
  <c r="W92" i="6" s="1"/>
  <c r="S78" i="6"/>
  <c r="W78" i="6" s="1"/>
  <c r="S76" i="6"/>
  <c r="W76" i="6" s="1"/>
  <c r="S75" i="6"/>
  <c r="W75" i="6" s="1"/>
  <c r="S74" i="6"/>
  <c r="W74" i="6" s="1"/>
  <c r="AP18" i="6"/>
  <c r="S68" i="6"/>
  <c r="W68" i="6" s="1"/>
  <c r="S67" i="6"/>
  <c r="W67" i="6" s="1"/>
  <c r="S66" i="6"/>
  <c r="W66" i="6" s="1"/>
  <c r="S65" i="6"/>
  <c r="W65" i="6" s="1"/>
  <c r="S135" i="6"/>
  <c r="W135" i="6" s="1"/>
  <c r="S134" i="6"/>
  <c r="W134" i="6" s="1"/>
  <c r="S132" i="6"/>
  <c r="W132" i="6" s="1"/>
  <c r="S131" i="6"/>
  <c r="W131" i="6" s="1"/>
  <c r="S130" i="6"/>
  <c r="W130" i="6" s="1"/>
  <c r="S129" i="6"/>
  <c r="W129" i="6" s="1"/>
  <c r="S128" i="6"/>
  <c r="W128" i="6" s="1"/>
  <c r="S127" i="6"/>
  <c r="W127" i="6" s="1"/>
  <c r="S126" i="6"/>
  <c r="W126" i="6" s="1"/>
  <c r="S120" i="6"/>
  <c r="W120" i="6" s="1"/>
  <c r="S119" i="6"/>
  <c r="W119" i="6" s="1"/>
  <c r="S118" i="6"/>
  <c r="W118" i="6" s="1"/>
  <c r="S116" i="6"/>
  <c r="W116" i="6" s="1"/>
  <c r="AP13" i="6"/>
  <c r="S107" i="6"/>
  <c r="W107" i="6" s="1"/>
  <c r="S106" i="6"/>
  <c r="W106" i="6" s="1"/>
  <c r="S105" i="6"/>
  <c r="W105" i="6" s="1"/>
  <c r="S104" i="6"/>
  <c r="W104" i="6" s="1"/>
  <c r="S103" i="6"/>
  <c r="W103" i="6" s="1"/>
  <c r="S101" i="6"/>
  <c r="W101" i="6" s="1"/>
  <c r="S100" i="6"/>
  <c r="W100" i="6" s="1"/>
  <c r="S96" i="6"/>
  <c r="W96" i="6" s="1"/>
  <c r="S94" i="6"/>
  <c r="W94" i="6" s="1"/>
  <c r="S93" i="6"/>
  <c r="W93" i="6" s="1"/>
  <c r="S90" i="6"/>
  <c r="W90" i="6" s="1"/>
  <c r="S89" i="6"/>
  <c r="W89" i="6" s="1"/>
  <c r="S87" i="6"/>
  <c r="W87" i="6" s="1"/>
  <c r="S85" i="6"/>
  <c r="W85" i="6" s="1"/>
  <c r="S83" i="6"/>
  <c r="W83" i="6" s="1"/>
  <c r="S82" i="6"/>
  <c r="W82" i="6" s="1"/>
  <c r="S77" i="6"/>
  <c r="W77" i="6" s="1"/>
  <c r="S72" i="6"/>
  <c r="W72" i="6" s="1"/>
  <c r="S70" i="6"/>
  <c r="W70" i="6" s="1"/>
  <c r="S56" i="6"/>
  <c r="W56" i="6" s="1"/>
  <c r="S47" i="6"/>
  <c r="W47" i="6" s="1"/>
  <c r="S46" i="6"/>
  <c r="W46" i="6" s="1"/>
  <c r="S45" i="6"/>
  <c r="W45" i="6" s="1"/>
  <c r="S44" i="6"/>
  <c r="W44" i="6" s="1"/>
  <c r="S43" i="6"/>
  <c r="W43" i="6" s="1"/>
  <c r="S28" i="6"/>
  <c r="W28" i="6" s="1"/>
  <c r="S26" i="6"/>
  <c r="W26" i="6" s="1"/>
  <c r="S22" i="6"/>
  <c r="W22" i="6" s="1"/>
  <c r="S21" i="6"/>
  <c r="W21" i="6" s="1"/>
  <c r="F135" i="3"/>
  <c r="J135" i="6" s="1"/>
  <c r="X19" i="6" l="1"/>
  <c r="X20" i="6" l="1"/>
  <c r="X21" i="6" l="1"/>
  <c r="X22" i="6" l="1"/>
  <c r="X23" i="6" l="1"/>
  <c r="X24" i="6" l="1"/>
  <c r="X25" i="6" l="1"/>
  <c r="X26" i="6" l="1"/>
  <c r="X27" i="6" l="1"/>
  <c r="X28" i="6" l="1"/>
  <c r="X29" i="6" l="1"/>
  <c r="X30" i="6" l="1"/>
  <c r="X31" i="6" l="1"/>
  <c r="X32" i="6" l="1"/>
  <c r="X33" i="6" l="1"/>
  <c r="X34" i="6" l="1"/>
  <c r="X35" i="6" l="1"/>
  <c r="X36" i="6" l="1"/>
  <c r="X37" i="6" l="1"/>
  <c r="X38" i="6" l="1"/>
  <c r="X39" i="6" l="1"/>
  <c r="X40" i="6" l="1"/>
  <c r="X41" i="6" l="1"/>
  <c r="X42" i="6" l="1"/>
  <c r="X43" i="6" l="1"/>
  <c r="X44" i="6" l="1"/>
  <c r="X45" i="6" l="1"/>
  <c r="X46" i="6" l="1"/>
  <c r="X47" i="6" l="1"/>
  <c r="X48" i="6" l="1"/>
  <c r="X49" i="6" l="1"/>
  <c r="X50" i="6" l="1"/>
  <c r="X51" i="6" l="1"/>
  <c r="X52" i="6" l="1"/>
  <c r="X53" i="6" l="1"/>
  <c r="X54" i="6" l="1"/>
  <c r="X55" i="6" l="1"/>
  <c r="X56" i="6" l="1"/>
  <c r="X57" i="6" l="1"/>
  <c r="X58" i="6" l="1"/>
  <c r="X59" i="6" l="1"/>
  <c r="X60" i="6" l="1"/>
  <c r="X61" i="6" l="1"/>
  <c r="X62" i="6" l="1"/>
  <c r="X63" i="6" l="1"/>
  <c r="X64" i="6" l="1"/>
  <c r="X65" i="6" l="1"/>
  <c r="X66" i="6" l="1"/>
  <c r="X67" i="6" l="1"/>
  <c r="X68" i="6" l="1"/>
  <c r="X69" i="6" l="1"/>
  <c r="X70" i="6" l="1"/>
  <c r="X71" i="6" l="1"/>
  <c r="X72" i="6" l="1"/>
  <c r="X73" i="6" l="1"/>
  <c r="X74" i="6" l="1"/>
  <c r="X75" i="6" l="1"/>
  <c r="X76" i="6" l="1"/>
  <c r="X77" i="6" l="1"/>
  <c r="X78" i="6" l="1"/>
  <c r="X79" i="6" l="1"/>
  <c r="X80" i="6" l="1"/>
  <c r="X81" i="6" l="1"/>
  <c r="X82" i="6" l="1"/>
  <c r="X83" i="6" l="1"/>
  <c r="X84" i="6" l="1"/>
  <c r="X85" i="6" l="1"/>
  <c r="X86" i="6" l="1"/>
  <c r="X87" i="6" l="1"/>
  <c r="X88" i="6" l="1"/>
  <c r="X89" i="6" l="1"/>
  <c r="X90" i="6" l="1"/>
  <c r="X91" i="6" l="1"/>
  <c r="X92" i="6" l="1"/>
  <c r="X93" i="6" l="1"/>
  <c r="X94" i="6" l="1"/>
  <c r="X95" i="6" l="1"/>
  <c r="X96" i="6" l="1"/>
  <c r="X97" i="6" l="1"/>
  <c r="X98" i="6" l="1"/>
  <c r="X99" i="6" l="1"/>
  <c r="X100" i="6" l="1"/>
  <c r="X101" i="6" l="1"/>
  <c r="X102" i="6" l="1"/>
  <c r="X103" i="6" l="1"/>
  <c r="X104" i="6" l="1"/>
  <c r="X105" i="6" l="1"/>
  <c r="X106" i="6" l="1"/>
  <c r="X107" i="6" l="1"/>
  <c r="X108" i="6" l="1"/>
  <c r="X109" i="6" l="1"/>
  <c r="X110" i="6" l="1"/>
  <c r="X111" i="6" l="1"/>
  <c r="X112" i="6" l="1"/>
  <c r="X113" i="6" l="1"/>
  <c r="X114" i="6" l="1"/>
  <c r="X115" i="6" l="1"/>
  <c r="X116" i="6" l="1"/>
  <c r="X117" i="6" l="1"/>
  <c r="X118" i="6" l="1"/>
  <c r="X119" i="6" l="1"/>
  <c r="X120" i="6" l="1"/>
  <c r="X121" i="6" l="1"/>
  <c r="X122" i="6" l="1"/>
  <c r="X123" i="6" l="1"/>
  <c r="X124" i="6" l="1"/>
  <c r="X125" i="6" l="1"/>
  <c r="X126" i="6" l="1"/>
  <c r="X127" i="6" l="1"/>
  <c r="X128" i="6" l="1"/>
  <c r="X129" i="6" l="1"/>
  <c r="X130" i="6" l="1"/>
  <c r="X131" i="6" l="1"/>
  <c r="X132" i="6" l="1"/>
  <c r="X133" i="6" l="1"/>
  <c r="X134" i="6" l="1"/>
  <c r="X135" i="6" l="1"/>
  <c r="T134" i="6" s="1"/>
  <c r="T135" i="6" l="1"/>
  <c r="T18" i="6"/>
  <c r="T19" i="6"/>
  <c r="T20" i="6"/>
  <c r="T21" i="6"/>
  <c r="T22" i="6"/>
  <c r="T23" i="6"/>
  <c r="T24" i="6"/>
  <c r="T25" i="6"/>
  <c r="T26" i="6"/>
  <c r="T27" i="6"/>
  <c r="T28" i="6"/>
  <c r="T29" i="6"/>
  <c r="T30" i="6"/>
  <c r="T31" i="6"/>
  <c r="T32" i="6"/>
  <c r="T33" i="6"/>
  <c r="T34" i="6"/>
  <c r="T35" i="6"/>
  <c r="T36" i="6"/>
  <c r="T37" i="6"/>
  <c r="T38" i="6"/>
  <c r="T39" i="6"/>
  <c r="T40" i="6"/>
  <c r="T41" i="6"/>
  <c r="T42" i="6"/>
  <c r="T43" i="6"/>
  <c r="T44" i="6"/>
  <c r="T45" i="6"/>
  <c r="T46" i="6"/>
  <c r="T47" i="6"/>
  <c r="T48" i="6"/>
  <c r="T49" i="6"/>
  <c r="T50" i="6"/>
  <c r="T51" i="6"/>
  <c r="T52" i="6"/>
  <c r="T53" i="6"/>
  <c r="T54" i="6"/>
  <c r="T55" i="6"/>
  <c r="T56" i="6"/>
  <c r="T57" i="6"/>
  <c r="T58" i="6"/>
  <c r="T59" i="6"/>
  <c r="T60" i="6"/>
  <c r="T61" i="6"/>
  <c r="T62" i="6"/>
  <c r="T63" i="6"/>
  <c r="T64" i="6"/>
  <c r="T65" i="6"/>
  <c r="T66" i="6"/>
  <c r="T67" i="6"/>
  <c r="T68" i="6"/>
  <c r="T69" i="6"/>
  <c r="T70" i="6"/>
  <c r="T71" i="6"/>
  <c r="T72" i="6"/>
  <c r="T73" i="6"/>
  <c r="T74" i="6"/>
  <c r="T75" i="6"/>
  <c r="T76" i="6"/>
  <c r="T77" i="6"/>
  <c r="T78" i="6"/>
  <c r="T79" i="6"/>
  <c r="T80" i="6"/>
  <c r="T81" i="6"/>
  <c r="T82" i="6"/>
  <c r="T83" i="6"/>
  <c r="T84" i="6"/>
  <c r="T85" i="6"/>
  <c r="T86" i="6"/>
  <c r="T87" i="6"/>
  <c r="T88" i="6"/>
  <c r="T89" i="6"/>
  <c r="T90" i="6"/>
  <c r="T91" i="6"/>
  <c r="T92" i="6"/>
  <c r="T93" i="6"/>
  <c r="T94" i="6"/>
  <c r="T95" i="6"/>
  <c r="T96" i="6"/>
  <c r="T97" i="6"/>
  <c r="T98" i="6"/>
  <c r="T99" i="6"/>
  <c r="T100" i="6"/>
  <c r="T101" i="6"/>
  <c r="T102" i="6"/>
  <c r="T103" i="6"/>
  <c r="T104" i="6"/>
  <c r="T105" i="6"/>
  <c r="T106" i="6"/>
  <c r="T107" i="6"/>
  <c r="T108" i="6"/>
  <c r="T109" i="6"/>
  <c r="T110" i="6"/>
  <c r="T111" i="6"/>
  <c r="T112" i="6"/>
  <c r="T113" i="6"/>
  <c r="T114" i="6"/>
  <c r="T115" i="6"/>
  <c r="T116" i="6"/>
  <c r="T117" i="6"/>
  <c r="T118" i="6"/>
  <c r="T119" i="6"/>
  <c r="T120" i="6"/>
  <c r="T121" i="6"/>
  <c r="T122" i="6"/>
  <c r="T123" i="6"/>
  <c r="T124" i="6"/>
  <c r="T125" i="6"/>
  <c r="T126" i="6"/>
  <c r="T127" i="6"/>
  <c r="T128" i="6"/>
  <c r="T129" i="6"/>
  <c r="T130" i="6"/>
  <c r="T131" i="6"/>
  <c r="T132" i="6"/>
  <c r="T133" i="6"/>
  <c r="K3" i="5" l="1"/>
  <c r="K3" i="4"/>
  <c r="I8" i="3"/>
</calcChain>
</file>

<file path=xl/sharedStrings.xml><?xml version="1.0" encoding="utf-8"?>
<sst xmlns="http://schemas.openxmlformats.org/spreadsheetml/2006/main" count="170" uniqueCount="97">
  <si>
    <t>air/oil</t>
  </si>
  <si>
    <t>Above Free Water, ft</t>
  </si>
  <si>
    <t>Bulk</t>
  </si>
  <si>
    <t>Volume,</t>
  </si>
  <si>
    <t>Gas-Oil,</t>
  </si>
  <si>
    <t>Saturation,</t>
  </si>
  <si>
    <t>Inc. (mD)</t>
  </si>
  <si>
    <t>Cumulative</t>
  </si>
  <si>
    <t>Hg Sat</t>
  </si>
  <si>
    <t>Weight,</t>
  </si>
  <si>
    <t>Laboratory TcosTheta</t>
  </si>
  <si>
    <t>MERCURY INJECTION CAPILLARY PRESSURE</t>
  </si>
  <si>
    <t>Gas:</t>
  </si>
  <si>
    <t>cumulative</t>
  </si>
  <si>
    <t>Oil:</t>
  </si>
  <si>
    <t>Sample</t>
  </si>
  <si>
    <t>incremental</t>
  </si>
  <si>
    <t>Estimated Height</t>
  </si>
  <si>
    <t>grams</t>
  </si>
  <si>
    <t>Helium</t>
  </si>
  <si>
    <t>Funct.</t>
  </si>
  <si>
    <t>%BV</t>
  </si>
  <si>
    <t>Mercury IFT</t>
  </si>
  <si>
    <t>Grain Density, grams/cc:</t>
  </si>
  <si>
    <t>Reservoir Contact Angle</t>
  </si>
  <si>
    <t>fraction</t>
  </si>
  <si>
    <t>grams/cc</t>
  </si>
  <si>
    <t>Sb/Pc</t>
  </si>
  <si>
    <t>oil/water</t>
  </si>
  <si>
    <t>Laboratory IFT</t>
  </si>
  <si>
    <t>PSD HISTOGRAM</t>
  </si>
  <si>
    <t>Laboratory Contact Angle</t>
  </si>
  <si>
    <t>intrusion</t>
  </si>
  <si>
    <t>Saturation</t>
  </si>
  <si>
    <t>O-W</t>
  </si>
  <si>
    <t>cc</t>
  </si>
  <si>
    <t>Conformance Correction,</t>
  </si>
  <si>
    <t>Norm. Pore</t>
  </si>
  <si>
    <t xml:space="preserve"> </t>
  </si>
  <si>
    <t>Density,</t>
  </si>
  <si>
    <t>Sample Number:</t>
  </si>
  <si>
    <t>Oil-Water,</t>
  </si>
  <si>
    <t>Contribution</t>
  </si>
  <si>
    <t>Size Dist.</t>
  </si>
  <si>
    <t>Pore Throat</t>
  </si>
  <si>
    <t xml:space="preserve"> 1.0-Mercury </t>
  </si>
  <si>
    <t>Radius, µm</t>
  </si>
  <si>
    <t>Fluid Density Gradients</t>
  </si>
  <si>
    <t>psia</t>
  </si>
  <si>
    <t xml:space="preserve">Mercury </t>
  </si>
  <si>
    <t>Conversion Parameters</t>
  </si>
  <si>
    <t>air/water</t>
  </si>
  <si>
    <t>Porosity, fraction:</t>
  </si>
  <si>
    <t>Diameter,</t>
  </si>
  <si>
    <t>microns</t>
  </si>
  <si>
    <t>frequency</t>
  </si>
  <si>
    <t>Corrected</t>
  </si>
  <si>
    <t>Uncorrected</t>
  </si>
  <si>
    <t>Normalized</t>
  </si>
  <si>
    <t>%PV</t>
  </si>
  <si>
    <t>Reservoir TcosTheta</t>
  </si>
  <si>
    <t>Porosity,</t>
  </si>
  <si>
    <t>Mercury</t>
  </si>
  <si>
    <t>micron</t>
  </si>
  <si>
    <t>Injection Pressure,</t>
  </si>
  <si>
    <t>G-W</t>
  </si>
  <si>
    <t>air/Hg</t>
  </si>
  <si>
    <t>d Log</t>
  </si>
  <si>
    <t>Function</t>
  </si>
  <si>
    <t>Mercury Saturation</t>
  </si>
  <si>
    <t>ml</t>
  </si>
  <si>
    <t>Water:</t>
  </si>
  <si>
    <t>IFT * Cosine Contact Angle:</t>
  </si>
  <si>
    <t>Gas-Water,</t>
  </si>
  <si>
    <t>Permeability to Air (calc), mD:</t>
  </si>
  <si>
    <t>Pore Radius,</t>
  </si>
  <si>
    <t>Mercury Injection</t>
  </si>
  <si>
    <t>Pressure,</t>
  </si>
  <si>
    <t>Radius,</t>
  </si>
  <si>
    <t>2</t>
  </si>
  <si>
    <t>d Sw/d Log</t>
  </si>
  <si>
    <t>Reservoir IFT</t>
  </si>
  <si>
    <t>&lt; 0.0018</t>
  </si>
  <si>
    <t>Mercury Contact Angle</t>
  </si>
  <si>
    <t>Grain</t>
  </si>
  <si>
    <t>Injection</t>
  </si>
  <si>
    <t>Other Laboratory Systems</t>
  </si>
  <si>
    <t>Permeability</t>
  </si>
  <si>
    <t>J</t>
  </si>
  <si>
    <t>Pore</t>
  </si>
  <si>
    <t>Cum. (mD)</t>
  </si>
  <si>
    <t>Incremental</t>
  </si>
  <si>
    <t>Sample Depth, m:</t>
  </si>
  <si>
    <t>NordAq Energy Inc.</t>
  </si>
  <si>
    <t>East Simpson No. 2 (USGS/Husky 1980)</t>
  </si>
  <si>
    <t>Torok Sandstones Formation</t>
  </si>
  <si>
    <t>HH-61176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</si>
</sst>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166" formatCode="0.0_)"/>
    <numFmt numFmtId="168" formatCode="0.0"/>
    <numFmt numFmtId="169" formatCode="0.000"/>
    <numFmt numFmtId="170" formatCode="0.0000"/>
    <numFmt numFmtId="171" formatCode="???0.00"/>
    <numFmt numFmtId="172" formatCode="[&lt;1]0.?0;[&gt;10]0;0.0"/>
    <numFmt numFmtId="173" formatCode="[&lt;1]0.000;[&gt;10]0.0;0.00"/>
    <numFmt numFmtId="174" formatCode="[&lt;0.1]0.000;[&gt;0.1]0.00;0.0"/>
    <numFmt numFmtId="175" formatCode="[Blue]General"/>
    <numFmt numFmtId="176" formatCode="?????.0"/>
    <numFmt numFmtId="177" formatCode="[&lt;10]???0.00;[&gt;100]???0;???0.0"/>
    <numFmt numFmtId="178" formatCode="?????"/>
    <numFmt numFmtId="179" formatCode="?????.00"/>
    <numFmt numFmtId="180" formatCode="[&lt;100]????0.0;[&gt;100]?????;General"/>
    <numFmt numFmtId="181" formatCode="????0.00"/>
    <numFmt numFmtId="183" formatCode="??0."/>
    <numFmt numFmtId="184" formatCode="??????0.0000"/>
    <numFmt numFmtId="185" formatCode="?0.0"/>
    <numFmt numFmtId="186" formatCode="????0.0?"/>
    <numFmt numFmtId="187" formatCode="????0.??"/>
    <numFmt numFmtId="188" formatCode="0.00??"/>
    <numFmt numFmtId="189" formatCode="0.00000"/>
    <numFmt numFmtId="191" formatCode="m\-dd\-yy"/>
    <numFmt numFmtId="192" formatCode="??0.000"/>
    <numFmt numFmtId="194" formatCode="???0.000"/>
    <numFmt numFmtId="196" formatCode="????0.000"/>
    <numFmt numFmtId="197" formatCode="?0.000"/>
    <numFmt numFmtId="198" formatCode="??0.0000"/>
    <numFmt numFmtId="199" formatCode="0.0\ \ \ \ 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indexed="12"/>
      <name val="Arial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8" fillId="0" borderId="0"/>
    <xf numFmtId="0" fontId="8" fillId="0" borderId="0"/>
  </cellStyleXfs>
  <cellXfs count="174">
    <xf numFmtId="0" fontId="0" fillId="0" borderId="0" xfId="0"/>
    <xf numFmtId="0" fontId="0" fillId="0" borderId="0" xfId="0" applyFont="1" applyAlignment="1">
      <alignment horizontal="center"/>
    </xf>
    <xf numFmtId="0" fontId="0" fillId="0" borderId="0" xfId="3" applyFont="1" applyAlignment="1" applyProtection="1">
      <alignment horizontal="centerContinuous"/>
    </xf>
    <xf numFmtId="169" fontId="2" fillId="0" borderId="0" xfId="0" applyNumberFormat="1" applyFont="1"/>
    <xf numFmtId="173" fontId="0" fillId="0" borderId="0" xfId="3" applyNumberFormat="1" applyFont="1" applyBorder="1" applyAlignment="1" applyProtection="1">
      <alignment horizontal="center"/>
    </xf>
    <xf numFmtId="194" fontId="0" fillId="0" borderId="0" xfId="3" applyNumberFormat="1" applyFont="1" applyAlignment="1" applyProtection="1">
      <alignment horizontal="center"/>
    </xf>
    <xf numFmtId="0" fontId="4" fillId="2" borderId="0" xfId="0" applyFont="1" applyFill="1" applyBorder="1" applyAlignment="1">
      <alignment vertical="center"/>
    </xf>
    <xf numFmtId="169" fontId="2" fillId="0" borderId="1" xfId="3" applyNumberFormat="1" applyFont="1" applyBorder="1" applyProtection="1">
      <protection locked="0"/>
    </xf>
    <xf numFmtId="0" fontId="0" fillId="0" borderId="0" xfId="3" applyFont="1" applyAlignment="1"/>
    <xf numFmtId="185" fontId="0" fillId="0" borderId="0" xfId="3" applyNumberFormat="1" applyFont="1" applyAlignment="1" applyProtection="1">
      <alignment horizontal="center"/>
    </xf>
    <xf numFmtId="170" fontId="0" fillId="0" borderId="0" xfId="0" applyNumberFormat="1" applyAlignment="1">
      <alignment horizontal="center"/>
    </xf>
    <xf numFmtId="188" fontId="0" fillId="0" borderId="0" xfId="3" applyNumberFormat="1" applyFont="1" applyAlignment="1" applyProtection="1">
      <alignment horizontal="center"/>
    </xf>
    <xf numFmtId="2" fontId="0" fillId="0" borderId="0" xfId="3" applyNumberFormat="1" applyFont="1" applyAlignment="1" applyProtection="1">
      <alignment horizontal="right"/>
    </xf>
    <xf numFmtId="0" fontId="3" fillId="0" borderId="0" xfId="3" applyFont="1" applyAlignment="1" applyProtection="1"/>
    <xf numFmtId="169" fontId="0" fillId="0" borderId="5" xfId="3" applyNumberFormat="1" applyFont="1" applyBorder="1" applyAlignment="1" applyProtection="1">
      <alignment horizontal="center"/>
    </xf>
    <xf numFmtId="194" fontId="0" fillId="0" borderId="0" xfId="3" applyNumberFormat="1" applyFont="1" applyFill="1" applyAlignment="1" applyProtection="1">
      <alignment horizontal="center"/>
    </xf>
    <xf numFmtId="0" fontId="5" fillId="0" borderId="0" xfId="3" applyFont="1" applyAlignment="1">
      <alignment horizontal="centerContinuous"/>
    </xf>
    <xf numFmtId="187" fontId="0" fillId="0" borderId="0" xfId="3" applyNumberFormat="1" applyFont="1" applyAlignment="1" applyProtection="1">
      <alignment horizontal="center"/>
    </xf>
    <xf numFmtId="0" fontId="0" fillId="0" borderId="0" xfId="3" applyFont="1" applyAlignment="1" applyProtection="1">
      <alignment horizontal="center"/>
    </xf>
    <xf numFmtId="2" fontId="0" fillId="0" borderId="0" xfId="0" applyNumberFormat="1" applyFont="1"/>
    <xf numFmtId="169" fontId="0" fillId="0" borderId="0" xfId="3" applyNumberFormat="1" applyFont="1" applyBorder="1" applyAlignment="1">
      <alignment horizontal="center"/>
    </xf>
    <xf numFmtId="181" fontId="0" fillId="0" borderId="7" xfId="3" applyNumberFormat="1" applyFont="1" applyBorder="1" applyAlignment="1" applyProtection="1">
      <alignment horizontal="centerContinuous"/>
    </xf>
    <xf numFmtId="166" fontId="0" fillId="0" borderId="0" xfId="3" applyNumberFormat="1" applyFont="1" applyBorder="1" applyAlignment="1" applyProtection="1">
      <alignment horizontal="center"/>
    </xf>
    <xf numFmtId="0" fontId="0" fillId="0" borderId="8" xfId="3" applyFont="1" applyBorder="1"/>
    <xf numFmtId="192" fontId="0" fillId="0" borderId="0" xfId="3" applyNumberFormat="1" applyFont="1" applyAlignment="1" applyProtection="1">
      <alignment horizontal="center"/>
    </xf>
    <xf numFmtId="169" fontId="0" fillId="0" borderId="0" xfId="0" applyNumberFormat="1" applyFont="1" applyBorder="1" applyAlignment="1">
      <alignment horizontal="center"/>
    </xf>
    <xf numFmtId="181" fontId="0" fillId="0" borderId="10" xfId="3" applyNumberFormat="1" applyFont="1" applyBorder="1" applyAlignment="1" applyProtection="1">
      <alignment horizontal="centerContinuous"/>
    </xf>
    <xf numFmtId="2" fontId="0" fillId="0" borderId="0" xfId="0" applyNumberFormat="1" applyBorder="1" applyAlignment="1">
      <alignment horizontal="center"/>
    </xf>
    <xf numFmtId="197" fontId="0" fillId="0" borderId="0" xfId="3" applyNumberFormat="1" applyFont="1" applyFill="1" applyAlignment="1" applyProtection="1">
      <alignment horizontal="center"/>
    </xf>
    <xf numFmtId="0" fontId="5" fillId="0" borderId="0" xfId="3" applyFont="1" applyAlignment="1" applyProtection="1">
      <alignment horizontal="centerContinuous"/>
    </xf>
    <xf numFmtId="0" fontId="0" fillId="0" borderId="0" xfId="3" applyFont="1" applyAlignment="1">
      <alignment horizontal="right"/>
    </xf>
    <xf numFmtId="191" fontId="0" fillId="0" borderId="0" xfId="2" applyNumberFormat="1" applyFont="1" applyFill="1"/>
    <xf numFmtId="0" fontId="0" fillId="0" borderId="0" xfId="0" applyFont="1" applyAlignment="1">
      <alignment horizontal="right"/>
    </xf>
    <xf numFmtId="169" fontId="0" fillId="0" borderId="0" xfId="3" applyNumberFormat="1" applyFont="1" applyBorder="1" applyAlignment="1" applyProtection="1">
      <alignment horizontal="center"/>
    </xf>
    <xf numFmtId="0" fontId="0" fillId="0" borderId="8" xfId="3" applyFont="1" applyBorder="1" applyProtection="1"/>
    <xf numFmtId="186" fontId="0" fillId="0" borderId="0" xfId="3" applyNumberFormat="1" applyFont="1" applyAlignment="1" applyProtection="1">
      <alignment horizontal="center"/>
    </xf>
    <xf numFmtId="0" fontId="0" fillId="0" borderId="0" xfId="3" applyNumberFormat="1" applyFont="1" applyBorder="1" applyAlignment="1" applyProtection="1">
      <alignment horizontal="center"/>
    </xf>
    <xf numFmtId="14" fontId="0" fillId="0" borderId="0" xfId="0" applyNumberFormat="1" applyFont="1"/>
    <xf numFmtId="0" fontId="0" fillId="0" borderId="9" xfId="3" applyFont="1" applyBorder="1" applyAlignment="1" applyProtection="1">
      <alignment horizontal="centerContinuous" vertical="center"/>
    </xf>
    <xf numFmtId="0" fontId="0" fillId="0" borderId="13" xfId="3" applyFont="1" applyBorder="1" applyAlignment="1" applyProtection="1">
      <alignment horizontal="center" vertical="center"/>
    </xf>
    <xf numFmtId="0" fontId="0" fillId="0" borderId="7" xfId="3" applyFont="1" applyBorder="1" applyAlignment="1">
      <alignment horizontal="center"/>
    </xf>
    <xf numFmtId="0" fontId="5" fillId="0" borderId="0" xfId="3" applyFont="1" applyAlignment="1" applyProtection="1">
      <alignment horizontal="center"/>
    </xf>
    <xf numFmtId="0" fontId="0" fillId="0" borderId="0" xfId="3" applyFont="1" applyAlignment="1" applyProtection="1">
      <alignment horizontal="right"/>
    </xf>
    <xf numFmtId="0" fontId="0" fillId="0" borderId="0" xfId="0" applyFill="1" applyBorder="1" applyAlignment="1">
      <alignment vertical="center"/>
    </xf>
    <xf numFmtId="0" fontId="0" fillId="0" borderId="0" xfId="3" applyFont="1"/>
    <xf numFmtId="0" fontId="0" fillId="0" borderId="13" xfId="3" applyFont="1" applyFill="1" applyBorder="1" applyAlignment="1" applyProtection="1">
      <alignment horizontal="center" vertical="center"/>
    </xf>
    <xf numFmtId="0" fontId="0" fillId="0" borderId="0" xfId="0" applyFont="1"/>
    <xf numFmtId="0" fontId="0" fillId="0" borderId="0" xfId="3" applyFont="1" applyAlignment="1" applyProtection="1">
      <alignment horizontal="left"/>
    </xf>
    <xf numFmtId="0" fontId="0" fillId="0" borderId="3" xfId="3" applyFont="1" applyBorder="1" applyAlignment="1" applyProtection="1">
      <alignment horizontal="centerContinuous" vertical="center"/>
    </xf>
    <xf numFmtId="181" fontId="0" fillId="0" borderId="0" xfId="3" applyNumberFormat="1" applyFont="1" applyAlignment="1" applyProtection="1">
      <alignment horizontal="center"/>
    </xf>
    <xf numFmtId="2" fontId="0" fillId="0" borderId="5" xfId="3" applyNumberFormat="1" applyFont="1" applyBorder="1" applyAlignment="1" applyProtection="1">
      <alignment horizontal="center"/>
    </xf>
    <xf numFmtId="174" fontId="0" fillId="0" borderId="0" xfId="3" applyNumberFormat="1" applyFont="1" applyBorder="1" applyAlignment="1" applyProtection="1">
      <alignment horizontal="center"/>
    </xf>
    <xf numFmtId="166" fontId="0" fillId="0" borderId="1" xfId="3" applyNumberFormat="1" applyFont="1" applyBorder="1" applyAlignment="1" applyProtection="1">
      <alignment horizontal="center"/>
    </xf>
    <xf numFmtId="169" fontId="2" fillId="0" borderId="9" xfId="3" applyNumberFormat="1" applyFont="1" applyBorder="1" applyProtection="1">
      <protection locked="0"/>
    </xf>
    <xf numFmtId="196" fontId="0" fillId="0" borderId="0" xfId="3" applyNumberFormat="1" applyFont="1" applyAlignment="1" applyProtection="1">
      <alignment horizontal="center"/>
    </xf>
    <xf numFmtId="0" fontId="0" fillId="0" borderId="0" xfId="3" applyFont="1" applyFill="1"/>
    <xf numFmtId="172" fontId="0" fillId="0" borderId="0" xfId="3" applyNumberFormat="1" applyFont="1" applyAlignment="1" applyProtection="1">
      <alignment horizontal="center"/>
    </xf>
    <xf numFmtId="0" fontId="0" fillId="0" borderId="11" xfId="0" applyFont="1" applyBorder="1"/>
    <xf numFmtId="0" fontId="0" fillId="0" borderId="0" xfId="3" applyNumberFormat="1" applyFont="1" applyProtection="1"/>
    <xf numFmtId="0" fontId="0" fillId="0" borderId="11" xfId="3" applyFont="1" applyBorder="1" applyAlignment="1" applyProtection="1">
      <alignment horizontal="center" vertical="center"/>
    </xf>
    <xf numFmtId="0" fontId="2" fillId="0" borderId="2" xfId="3" applyNumberFormat="1" applyFont="1" applyBorder="1" applyAlignment="1" applyProtection="1">
      <alignment horizontal="center"/>
      <protection locked="0"/>
    </xf>
    <xf numFmtId="0" fontId="0" fillId="0" borderId="0" xfId="0" applyBorder="1" applyAlignment="1">
      <alignment horizontal="center"/>
    </xf>
    <xf numFmtId="166" fontId="0" fillId="0" borderId="4" xfId="3" applyNumberFormat="1" applyFont="1" applyBorder="1" applyAlignment="1" applyProtection="1">
      <alignment horizontal="center"/>
    </xf>
    <xf numFmtId="0" fontId="0" fillId="0" borderId="2" xfId="3" applyNumberFormat="1" applyFont="1" applyBorder="1" applyAlignment="1" applyProtection="1">
      <alignment horizontal="center"/>
    </xf>
    <xf numFmtId="0" fontId="0" fillId="0" borderId="10" xfId="3" applyFont="1" applyBorder="1" applyAlignment="1" applyProtection="1">
      <alignment horizontal="center"/>
    </xf>
    <xf numFmtId="0" fontId="0" fillId="0" borderId="0" xfId="3" applyFont="1" applyProtection="1"/>
    <xf numFmtId="169" fontId="0" fillId="0" borderId="0" xfId="3" applyNumberFormat="1" applyFont="1" applyBorder="1"/>
    <xf numFmtId="183" fontId="0" fillId="0" borderId="0" xfId="0" applyNumberFormat="1" applyAlignment="1">
      <alignment horizontal="center"/>
    </xf>
    <xf numFmtId="177" fontId="0" fillId="0" borderId="0" xfId="3" applyNumberFormat="1" applyFont="1" applyBorder="1" applyAlignment="1" applyProtection="1">
      <alignment horizontal="center"/>
    </xf>
    <xf numFmtId="0" fontId="0" fillId="0" borderId="11" xfId="3" applyFont="1" applyFill="1" applyBorder="1" applyAlignment="1" applyProtection="1">
      <alignment horizontal="center" vertical="center"/>
    </xf>
    <xf numFmtId="169" fontId="0" fillId="0" borderId="0" xfId="0" applyNumberFormat="1" applyFont="1" applyBorder="1"/>
    <xf numFmtId="169" fontId="0" fillId="0" borderId="0" xfId="0" applyNumberFormat="1" applyAlignment="1">
      <alignment horizontal="center"/>
    </xf>
    <xf numFmtId="0" fontId="0" fillId="0" borderId="13" xfId="0" applyBorder="1" applyAlignment="1">
      <alignment horizontal="center"/>
    </xf>
    <xf numFmtId="189" fontId="0" fillId="0" borderId="0" xfId="0" applyNumberFormat="1" applyFont="1" applyAlignment="1">
      <alignment horizontal="right"/>
    </xf>
    <xf numFmtId="2" fontId="0" fillId="0" borderId="0" xfId="3" applyNumberFormat="1" applyFont="1" applyBorder="1" applyAlignment="1" applyProtection="1">
      <alignment horizontal="center"/>
    </xf>
    <xf numFmtId="0" fontId="0" fillId="0" borderId="0" xfId="3" applyFont="1" applyFill="1" applyProtection="1"/>
    <xf numFmtId="0" fontId="0" fillId="0" borderId="0" xfId="0" applyFill="1" applyBorder="1" applyAlignment="1"/>
    <xf numFmtId="168" fontId="0" fillId="0" borderId="0" xfId="0" applyNumberFormat="1" applyAlignment="1">
      <alignment horizontal="center"/>
    </xf>
    <xf numFmtId="0" fontId="0" fillId="0" borderId="0" xfId="3" applyFont="1" applyBorder="1" applyAlignment="1">
      <alignment horizontal="centerContinuous"/>
    </xf>
    <xf numFmtId="184" fontId="0" fillId="0" borderId="0" xfId="0" applyNumberFormat="1" applyBorder="1" applyAlignment="1">
      <alignment horizontal="center"/>
    </xf>
    <xf numFmtId="1" fontId="2" fillId="0" borderId="4" xfId="3" applyNumberFormat="1" applyFont="1" applyBorder="1" applyAlignment="1" applyProtection="1">
      <alignment horizontal="center"/>
      <protection locked="0"/>
    </xf>
    <xf numFmtId="170" fontId="0" fillId="0" borderId="0" xfId="3" applyNumberFormat="1" applyFont="1" applyAlignment="1" applyProtection="1">
      <alignment horizontal="right"/>
    </xf>
    <xf numFmtId="0" fontId="0" fillId="0" borderId="0" xfId="3" applyNumberFormat="1" applyFont="1" applyBorder="1" applyProtection="1"/>
    <xf numFmtId="178" fontId="0" fillId="0" borderId="0" xfId="3" applyNumberFormat="1" applyFont="1" applyBorder="1" applyAlignment="1" applyProtection="1">
      <alignment horizontal="center"/>
    </xf>
    <xf numFmtId="169" fontId="2" fillId="0" borderId="0" xfId="3" applyNumberFormat="1" applyFont="1" applyFill="1" applyBorder="1" applyProtection="1">
      <protection locked="0"/>
    </xf>
    <xf numFmtId="198" fontId="0" fillId="0" borderId="0" xfId="3" applyNumberFormat="1" applyFont="1" applyAlignment="1" applyProtection="1">
      <alignment horizontal="center"/>
    </xf>
    <xf numFmtId="1" fontId="0" fillId="0" borderId="0" xfId="3" applyNumberFormat="1" applyFont="1" applyBorder="1" applyProtection="1"/>
    <xf numFmtId="168" fontId="0" fillId="0" borderId="0" xfId="3" applyNumberFormat="1" applyFont="1" applyBorder="1" applyProtection="1"/>
    <xf numFmtId="175" fontId="0" fillId="0" borderId="0" xfId="3" applyNumberFormat="1" applyFont="1" applyBorder="1" applyAlignment="1" applyProtection="1">
      <alignment horizontal="center"/>
      <protection locked="0"/>
    </xf>
    <xf numFmtId="199" fontId="0" fillId="0" borderId="0" xfId="0" quotePrefix="1" applyNumberFormat="1" applyFont="1" applyBorder="1" applyAlignment="1">
      <alignment horizontal="left"/>
    </xf>
    <xf numFmtId="0" fontId="0" fillId="0" borderId="0" xfId="3" applyFont="1" applyBorder="1" applyAlignment="1">
      <alignment horizontal="center"/>
    </xf>
    <xf numFmtId="196" fontId="0" fillId="0" borderId="0" xfId="3" applyNumberFormat="1" applyFont="1" applyAlignment="1" applyProtection="1">
      <alignment horizontal="left"/>
    </xf>
    <xf numFmtId="0" fontId="0" fillId="0" borderId="0" xfId="0" applyFont="1" applyBorder="1" applyAlignment="1">
      <alignment horizontal="center"/>
    </xf>
    <xf numFmtId="0" fontId="0" fillId="0" borderId="0" xfId="3" applyFont="1" applyBorder="1" applyAlignment="1" applyProtection="1">
      <alignment horizontal="centerContinuous"/>
    </xf>
    <xf numFmtId="192" fontId="0" fillId="0" borderId="0" xfId="3" applyNumberFormat="1" applyFont="1" applyBorder="1" applyAlignment="1" applyProtection="1">
      <alignment horizontal="centerContinuous"/>
    </xf>
    <xf numFmtId="0" fontId="0" fillId="0" borderId="0" xfId="3" applyFont="1" applyBorder="1" applyAlignment="1"/>
    <xf numFmtId="0" fontId="2" fillId="0" borderId="0" xfId="3" applyNumberFormat="1" applyFont="1" applyBorder="1" applyAlignment="1" applyProtection="1">
      <alignment horizontal="center"/>
      <protection locked="0"/>
    </xf>
    <xf numFmtId="170" fontId="0" fillId="0" borderId="0" xfId="0" applyNumberFormat="1" applyBorder="1" applyAlignment="1">
      <alignment horizontal="center"/>
    </xf>
    <xf numFmtId="169" fontId="0" fillId="0" borderId="0" xfId="3" applyNumberFormat="1" applyFont="1" applyAlignment="1">
      <alignment horizontal="center"/>
    </xf>
    <xf numFmtId="169" fontId="0" fillId="0" borderId="0" xfId="0" applyNumberFormat="1" applyFont="1" applyAlignment="1">
      <alignment horizontal="center"/>
    </xf>
    <xf numFmtId="1" fontId="2" fillId="0" borderId="0" xfId="3" applyNumberFormat="1" applyFont="1" applyBorder="1" applyAlignment="1" applyProtection="1">
      <alignment horizontal="center"/>
      <protection locked="0"/>
    </xf>
    <xf numFmtId="0" fontId="0" fillId="0" borderId="2" xfId="3" applyFont="1" applyBorder="1" applyAlignment="1" applyProtection="1">
      <alignment horizontal="center"/>
      <protection locked="0"/>
    </xf>
    <xf numFmtId="0" fontId="5" fillId="0" borderId="0" xfId="3" applyFont="1" applyBorder="1" applyAlignment="1">
      <alignment horizontal="centerContinuous"/>
    </xf>
    <xf numFmtId="180" fontId="0" fillId="0" borderId="0" xfId="3" applyNumberFormat="1" applyFont="1" applyBorder="1" applyAlignment="1" applyProtection="1">
      <alignment horizontal="center"/>
    </xf>
    <xf numFmtId="0" fontId="0" fillId="0" borderId="0" xfId="3" applyFont="1" applyBorder="1" applyAlignment="1" applyProtection="1">
      <alignment horizontal="center"/>
    </xf>
    <xf numFmtId="2" fontId="0" fillId="0" borderId="0" xfId="0" applyNumberFormat="1" applyAlignment="1">
      <alignment horizontal="center"/>
    </xf>
    <xf numFmtId="192" fontId="0" fillId="0" borderId="0" xfId="3" applyNumberFormat="1" applyFont="1" applyBorder="1" applyAlignment="1" applyProtection="1">
      <alignment horizontal="center"/>
    </xf>
    <xf numFmtId="191" fontId="0" fillId="0" borderId="0" xfId="0" applyNumberFormat="1" applyAlignment="1">
      <alignment horizontal="left"/>
    </xf>
    <xf numFmtId="1" fontId="0" fillId="0" borderId="0" xfId="0" quotePrefix="1" applyNumberFormat="1" applyFont="1" applyAlignment="1">
      <alignment horizontal="right"/>
    </xf>
    <xf numFmtId="177" fontId="0" fillId="0" borderId="0" xfId="3" applyNumberFormat="1" applyFont="1" applyBorder="1" applyProtection="1"/>
    <xf numFmtId="170" fontId="0" fillId="0" borderId="0" xfId="0" applyNumberFormat="1" applyFill="1" applyBorder="1" applyAlignment="1"/>
    <xf numFmtId="169" fontId="0" fillId="0" borderId="0" xfId="3" applyNumberFormat="1" applyFont="1" applyAlignment="1" applyProtection="1">
      <alignment horizontal="center"/>
    </xf>
    <xf numFmtId="0" fontId="0" fillId="0" borderId="2" xfId="3" applyFont="1" applyBorder="1" applyAlignment="1">
      <alignment horizontal="center"/>
    </xf>
    <xf numFmtId="0" fontId="0" fillId="0" borderId="8" xfId="3" applyFont="1" applyBorder="1" applyAlignment="1" applyProtection="1">
      <alignment horizontal="centerContinuous" vertical="center"/>
    </xf>
    <xf numFmtId="0" fontId="0" fillId="0" borderId="6" xfId="3" applyFont="1" applyBorder="1"/>
    <xf numFmtId="179" fontId="0" fillId="0" borderId="0" xfId="3" applyNumberFormat="1" applyFont="1" applyBorder="1" applyAlignment="1" applyProtection="1">
      <alignment horizontal="center"/>
    </xf>
    <xf numFmtId="169" fontId="2" fillId="0" borderId="4" xfId="3" applyNumberFormat="1" applyFont="1" applyBorder="1" applyProtection="1">
      <protection locked="0"/>
    </xf>
    <xf numFmtId="0" fontId="0" fillId="0" borderId="5" xfId="3" applyFont="1" applyBorder="1" applyAlignment="1" applyProtection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0" fillId="0" borderId="3" xfId="3" applyFont="1" applyBorder="1"/>
    <xf numFmtId="0" fontId="0" fillId="0" borderId="0" xfId="3" applyFont="1" applyBorder="1" applyAlignment="1" applyProtection="1">
      <alignment horizontal="centerContinuous" vertical="center"/>
    </xf>
    <xf numFmtId="0" fontId="0" fillId="0" borderId="8" xfId="3" applyFont="1" applyBorder="1" applyAlignment="1" applyProtection="1">
      <alignment horizontal="left"/>
    </xf>
    <xf numFmtId="181" fontId="0" fillId="0" borderId="0" xfId="3" applyNumberFormat="1" applyFont="1" applyBorder="1" applyAlignment="1" applyProtection="1">
      <alignment horizontal="centerContinuous"/>
    </xf>
    <xf numFmtId="175" fontId="0" fillId="0" borderId="4" xfId="3" applyNumberFormat="1" applyFont="1" applyBorder="1" applyAlignment="1" applyProtection="1">
      <alignment horizontal="center"/>
      <protection locked="0"/>
    </xf>
    <xf numFmtId="0" fontId="0" fillId="0" borderId="12" xfId="3" applyFont="1" applyBorder="1" applyAlignment="1" applyProtection="1">
      <alignment horizontal="centerContinuous" vertical="center"/>
    </xf>
    <xf numFmtId="0" fontId="0" fillId="0" borderId="6" xfId="3" applyFont="1" applyBorder="1" applyProtection="1"/>
    <xf numFmtId="176" fontId="0" fillId="0" borderId="0" xfId="3" applyNumberFormat="1" applyFont="1" applyBorder="1" applyAlignment="1" applyProtection="1">
      <alignment horizontal="center"/>
    </xf>
    <xf numFmtId="0" fontId="0" fillId="0" borderId="4" xfId="0" applyFont="1" applyBorder="1" applyAlignment="1">
      <alignment horizontal="center"/>
    </xf>
    <xf numFmtId="0" fontId="0" fillId="0" borderId="14" xfId="3" applyFont="1" applyBorder="1" applyAlignment="1" applyProtection="1">
      <alignment horizontal="center" vertical="center"/>
    </xf>
    <xf numFmtId="0" fontId="0" fillId="0" borderId="0" xfId="3" applyFont="1" applyBorder="1"/>
    <xf numFmtId="1" fontId="2" fillId="0" borderId="1" xfId="3" applyNumberFormat="1" applyFont="1" applyBorder="1" applyAlignment="1" applyProtection="1">
      <alignment horizontal="center"/>
      <protection locked="0"/>
    </xf>
    <xf numFmtId="0" fontId="0" fillId="0" borderId="0" xfId="0" applyFont="1" applyBorder="1"/>
    <xf numFmtId="0" fontId="0" fillId="0" borderId="0" xfId="3" applyFont="1" applyBorder="1" applyAlignment="1" applyProtection="1">
      <alignment horizontal="center"/>
      <protection locked="0"/>
    </xf>
    <xf numFmtId="0" fontId="0" fillId="0" borderId="0" xfId="3" applyFont="1" applyBorder="1" applyAlignment="1" applyProtection="1">
      <alignment horizontal="center" vertical="center"/>
    </xf>
    <xf numFmtId="0" fontId="0" fillId="0" borderId="0" xfId="3" applyFont="1" applyBorder="1" applyAlignment="1" applyProtection="1">
      <alignment horizontal="left"/>
    </xf>
    <xf numFmtId="169" fontId="2" fillId="0" borderId="0" xfId="3" applyNumberFormat="1" applyFont="1" applyBorder="1" applyProtection="1">
      <protection locked="0"/>
    </xf>
    <xf numFmtId="181" fontId="0" fillId="0" borderId="0" xfId="3" applyNumberFormat="1" applyFont="1" applyBorder="1" applyAlignment="1" applyProtection="1">
      <alignment horizontal="center"/>
    </xf>
    <xf numFmtId="169" fontId="0" fillId="0" borderId="0" xfId="3" applyNumberFormat="1" applyFont="1" applyAlignment="1" applyProtection="1">
      <alignment horizontal="right"/>
    </xf>
    <xf numFmtId="0" fontId="0" fillId="0" borderId="12" xfId="3" applyFont="1" applyBorder="1"/>
    <xf numFmtId="0" fontId="0" fillId="0" borderId="14" xfId="3" applyFont="1" applyFill="1" applyBorder="1" applyAlignment="1" applyProtection="1">
      <alignment horizontal="center" vertical="center"/>
    </xf>
    <xf numFmtId="169" fontId="0" fillId="0" borderId="0" xfId="3" applyNumberFormat="1" applyFont="1"/>
    <xf numFmtId="2" fontId="0" fillId="0" borderId="0" xfId="0" applyNumberFormat="1" applyFont="1" applyAlignment="1"/>
    <xf numFmtId="0" fontId="0" fillId="0" borderId="11" xfId="0" applyBorder="1" applyAlignment="1">
      <alignment horizontal="center"/>
    </xf>
    <xf numFmtId="169" fontId="0" fillId="0" borderId="0" xfId="0" applyNumberFormat="1" applyFont="1"/>
    <xf numFmtId="0" fontId="0" fillId="0" borderId="0" xfId="3" applyFont="1" applyBorder="1" applyProtection="1"/>
    <xf numFmtId="0" fontId="0" fillId="0" borderId="0" xfId="3" applyNumberFormat="1" applyFont="1" applyAlignment="1" applyProtection="1">
      <alignment horizontal="left"/>
    </xf>
    <xf numFmtId="183" fontId="0" fillId="0" borderId="0" xfId="0" applyNumberFormat="1" applyBorder="1" applyAlignment="1">
      <alignment horizontal="center"/>
    </xf>
    <xf numFmtId="169" fontId="0" fillId="0" borderId="0" xfId="0" applyNumberFormat="1" applyBorder="1" applyAlignment="1">
      <alignment horizontal="center"/>
    </xf>
    <xf numFmtId="0" fontId="0" fillId="0" borderId="0" xfId="3" applyFont="1" applyAlignment="1">
      <alignment horizontal="centerContinuous"/>
    </xf>
    <xf numFmtId="0" fontId="0" fillId="0" borderId="12" xfId="3" applyFont="1" applyBorder="1" applyProtection="1"/>
    <xf numFmtId="192" fontId="0" fillId="0" borderId="15" xfId="3" applyNumberFormat="1" applyFont="1" applyBorder="1" applyAlignment="1" applyProtection="1">
      <alignment horizontal="centerContinuous"/>
    </xf>
    <xf numFmtId="0" fontId="7" fillId="0" borderId="0" xfId="3" applyFont="1" applyProtection="1"/>
    <xf numFmtId="184" fontId="0" fillId="0" borderId="0" xfId="0" applyNumberFormat="1" applyAlignment="1">
      <alignment horizontal="center"/>
    </xf>
    <xf numFmtId="0" fontId="0" fillId="0" borderId="2" xfId="3" applyFont="1" applyBorder="1"/>
    <xf numFmtId="171" fontId="0" fillId="0" borderId="0" xfId="3" applyNumberFormat="1" applyFont="1" applyAlignment="1" applyProtection="1">
      <alignment horizontal="center"/>
    </xf>
    <xf numFmtId="0" fontId="0" fillId="0" borderId="7" xfId="3" applyFont="1" applyBorder="1" applyAlignment="1" applyProtection="1">
      <alignment horizontal="center"/>
    </xf>
    <xf numFmtId="168" fontId="0" fillId="0" borderId="0" xfId="0" applyNumberFormat="1" applyBorder="1" applyAlignment="1">
      <alignment horizontal="center"/>
    </xf>
    <xf numFmtId="2" fontId="0" fillId="0" borderId="0" xfId="0" applyNumberFormat="1" applyFont="1" applyAlignment="1">
      <alignment horizontal="right"/>
    </xf>
    <xf numFmtId="1" fontId="0" fillId="0" borderId="0" xfId="3" applyNumberFormat="1" applyFont="1" applyProtection="1"/>
    <xf numFmtId="168" fontId="0" fillId="0" borderId="0" xfId="3" applyNumberFormat="1" applyFont="1" applyProtection="1"/>
    <xf numFmtId="0" fontId="0" fillId="0" borderId="4" xfId="3" applyFont="1" applyBorder="1" applyAlignment="1" applyProtection="1">
      <alignment horizontal="centerContinuous" vertical="center"/>
    </xf>
    <xf numFmtId="0" fontId="0" fillId="2" borderId="0" xfId="0" applyFill="1" applyBorder="1" applyAlignment="1">
      <alignment vertical="center"/>
    </xf>
    <xf numFmtId="169" fontId="0" fillId="0" borderId="0" xfId="0" applyNumberFormat="1" applyFont="1" applyAlignment="1">
      <alignment horizontal="right"/>
    </xf>
    <xf numFmtId="0" fontId="3" fillId="0" borderId="0" xfId="3" applyFont="1" applyAlignment="1" applyProtection="1">
      <alignment horizontal="center"/>
    </xf>
    <xf numFmtId="192" fontId="0" fillId="0" borderId="12" xfId="3" applyNumberFormat="1" applyFont="1" applyBorder="1" applyAlignment="1" applyProtection="1">
      <alignment horizontal="center"/>
    </xf>
    <xf numFmtId="192" fontId="0" fillId="0" borderId="9" xfId="3" applyNumberFormat="1" applyFont="1" applyBorder="1" applyAlignment="1" applyProtection="1">
      <alignment horizontal="center"/>
    </xf>
    <xf numFmtId="0" fontId="0" fillId="0" borderId="6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2" fontId="0" fillId="0" borderId="15" xfId="3" applyNumberFormat="1" applyFont="1" applyBorder="1" applyAlignment="1" applyProtection="1">
      <alignment horizontal="center"/>
    </xf>
    <xf numFmtId="2" fontId="0" fillId="0" borderId="10" xfId="3" applyNumberFormat="1" applyFont="1" applyBorder="1" applyAlignment="1" applyProtection="1">
      <alignment horizontal="center"/>
    </xf>
    <xf numFmtId="0" fontId="0" fillId="0" borderId="0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0" xfId="0" applyBorder="1" applyAlignment="1">
      <alignment horizontal="center"/>
    </xf>
  </cellXfs>
  <cellStyles count="4">
    <cellStyle name="Normal" xfId="0" builtinId="0"/>
    <cellStyle name="Normal 2" xfId="1"/>
    <cellStyle name="Normal_Core Data H-3258" xfId="2"/>
    <cellStyle name="Normal_HG-DATA_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5492957746478872"/>
          <c:y val="7.0234113712374549E-2"/>
          <c:w val="0.76760563380283331"/>
          <c:h val="0.81605351170568552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Table!$B$18:$B$135</c:f>
              <c:numCache>
                <c:formatCode>0.000</c:formatCode>
                <c:ptCount val="1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1.3435442697836894E-4</c:v>
                </c:pt>
                <c:pt idx="40">
                  <c:v>3.3588606744592236E-4</c:v>
                </c:pt>
                <c:pt idx="41">
                  <c:v>6.7177213489184472E-4</c:v>
                </c:pt>
                <c:pt idx="42">
                  <c:v>1.007658202337767E-3</c:v>
                </c:pt>
                <c:pt idx="43">
                  <c:v>2.0824936181647186E-3</c:v>
                </c:pt>
                <c:pt idx="44">
                  <c:v>3.0229746070133011E-3</c:v>
                </c:pt>
                <c:pt idx="45">
                  <c:v>5.9115947870482339E-3</c:v>
                </c:pt>
                <c:pt idx="46">
                  <c:v>9.5391643154641957E-3</c:v>
                </c:pt>
                <c:pt idx="47">
                  <c:v>1.6324062877871824E-2</c:v>
                </c:pt>
                <c:pt idx="48">
                  <c:v>2.8012898024989925E-2</c:v>
                </c:pt>
                <c:pt idx="49">
                  <c:v>5.0853150611312646E-2</c:v>
                </c:pt>
                <c:pt idx="50">
                  <c:v>9.7406959559317483E-2</c:v>
                </c:pt>
                <c:pt idx="51">
                  <c:v>0.17083165390299612</c:v>
                </c:pt>
                <c:pt idx="52">
                  <c:v>0.26004299341663312</c:v>
                </c:pt>
                <c:pt idx="53">
                  <c:v>0.34831385194142145</c:v>
                </c:pt>
                <c:pt idx="54">
                  <c:v>0.40877334408168753</c:v>
                </c:pt>
                <c:pt idx="55">
                  <c:v>0.43745801424156927</c:v>
                </c:pt>
                <c:pt idx="56">
                  <c:v>0.46090286174929468</c:v>
                </c:pt>
                <c:pt idx="57">
                  <c:v>0.48038425366115811</c:v>
                </c:pt>
                <c:pt idx="58">
                  <c:v>0.49939540507859731</c:v>
                </c:pt>
                <c:pt idx="59">
                  <c:v>0.51679430337229615</c:v>
                </c:pt>
                <c:pt idx="60">
                  <c:v>0.5335886067445923</c:v>
                </c:pt>
                <c:pt idx="61">
                  <c:v>0.55051726454386674</c:v>
                </c:pt>
                <c:pt idx="62">
                  <c:v>0.56724439070267374</c:v>
                </c:pt>
                <c:pt idx="63">
                  <c:v>0.58356845358054554</c:v>
                </c:pt>
                <c:pt idx="64">
                  <c:v>0.5995566303909714</c:v>
                </c:pt>
                <c:pt idx="65">
                  <c:v>0.6158806932688432</c:v>
                </c:pt>
                <c:pt idx="66">
                  <c:v>0.63099556630390974</c:v>
                </c:pt>
                <c:pt idx="67">
                  <c:v>0.64678221147386805</c:v>
                </c:pt>
                <c:pt idx="68">
                  <c:v>0.66169555286846704</c:v>
                </c:pt>
                <c:pt idx="69">
                  <c:v>0.67674324869004443</c:v>
                </c:pt>
                <c:pt idx="70">
                  <c:v>0.69085046352277313</c:v>
                </c:pt>
                <c:pt idx="71">
                  <c:v>0.70462179228805588</c:v>
                </c:pt>
                <c:pt idx="72">
                  <c:v>0.71772134891844686</c:v>
                </c:pt>
                <c:pt idx="73">
                  <c:v>0.73095525997581634</c:v>
                </c:pt>
                <c:pt idx="74">
                  <c:v>0.7437861077522504</c:v>
                </c:pt>
                <c:pt idx="75">
                  <c:v>0.75628106946123874</c:v>
                </c:pt>
                <c:pt idx="76">
                  <c:v>0.76830579067580274</c:v>
                </c:pt>
                <c:pt idx="77">
                  <c:v>0.77979309418245335</c:v>
                </c:pt>
                <c:pt idx="78">
                  <c:v>0.7914819293295714</c:v>
                </c:pt>
                <c:pt idx="79">
                  <c:v>0.80169286577992749</c:v>
                </c:pt>
                <c:pt idx="80">
                  <c:v>0.81176944780330507</c:v>
                </c:pt>
                <c:pt idx="81">
                  <c:v>0.8224506247480855</c:v>
                </c:pt>
                <c:pt idx="82">
                  <c:v>0.83205696627703885</c:v>
                </c:pt>
                <c:pt idx="83">
                  <c:v>0.84152895337901379</c:v>
                </c:pt>
                <c:pt idx="84">
                  <c:v>0.8513368265484349</c:v>
                </c:pt>
                <c:pt idx="85">
                  <c:v>0.86054010479645304</c:v>
                </c:pt>
                <c:pt idx="86">
                  <c:v>0.86967620583098215</c:v>
                </c:pt>
                <c:pt idx="87">
                  <c:v>0.87800618030364097</c:v>
                </c:pt>
                <c:pt idx="88">
                  <c:v>0.88647050920327841</c:v>
                </c:pt>
                <c:pt idx="89">
                  <c:v>0.89493483810291552</c:v>
                </c:pt>
                <c:pt idx="90">
                  <c:v>0.90279457208115022</c:v>
                </c:pt>
                <c:pt idx="91">
                  <c:v>0.91085583769985234</c:v>
                </c:pt>
                <c:pt idx="92">
                  <c:v>0.91844686282413013</c:v>
                </c:pt>
                <c:pt idx="93">
                  <c:v>0.92556764745398357</c:v>
                </c:pt>
                <c:pt idx="94">
                  <c:v>0.93255407765685894</c:v>
                </c:pt>
                <c:pt idx="95">
                  <c:v>0.93900309015182049</c:v>
                </c:pt>
                <c:pt idx="96">
                  <c:v>0.94531774821980386</c:v>
                </c:pt>
                <c:pt idx="97">
                  <c:v>0.95122934300685202</c:v>
                </c:pt>
                <c:pt idx="98">
                  <c:v>0.95633481123203012</c:v>
                </c:pt>
                <c:pt idx="99">
                  <c:v>0.96157463388418651</c:v>
                </c:pt>
                <c:pt idx="100">
                  <c:v>0.96627703882842941</c:v>
                </c:pt>
                <c:pt idx="101">
                  <c:v>0.97111379819965071</c:v>
                </c:pt>
                <c:pt idx="102">
                  <c:v>0.97487572215504514</c:v>
                </c:pt>
                <c:pt idx="103">
                  <c:v>0.97830176004299341</c:v>
                </c:pt>
                <c:pt idx="104">
                  <c:v>0.98172779793094189</c:v>
                </c:pt>
                <c:pt idx="105">
                  <c:v>0.98495230417842272</c:v>
                </c:pt>
                <c:pt idx="106">
                  <c:v>0.98777374714496846</c:v>
                </c:pt>
                <c:pt idx="107">
                  <c:v>0.99025930404406826</c:v>
                </c:pt>
                <c:pt idx="108">
                  <c:v>0.99261050651618976</c:v>
                </c:pt>
                <c:pt idx="109">
                  <c:v>0.99428993685341938</c:v>
                </c:pt>
                <c:pt idx="110">
                  <c:v>0.99563348112320305</c:v>
                </c:pt>
                <c:pt idx="111">
                  <c:v>0.99704420260647586</c:v>
                </c:pt>
                <c:pt idx="112">
                  <c:v>0.99832056966277039</c:v>
                </c:pt>
                <c:pt idx="113">
                  <c:v>0.99926105065161908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</c:numCache>
            </c:numRef>
          </c:xVal>
          <c:yVal>
            <c:numRef>
              <c:f>Table!$A$18:$A$135</c:f>
              <c:numCache>
                <c:formatCode>????0.00</c:formatCode>
                <c:ptCount val="118"/>
                <c:pt idx="0">
                  <c:v>1.5249248743057251</c:v>
                </c:pt>
                <c:pt idx="1">
                  <c:v>1.5977315902709961</c:v>
                </c:pt>
                <c:pt idx="2">
                  <c:v>1.8203334808349609</c:v>
                </c:pt>
                <c:pt idx="3">
                  <c:v>2.0241596698760986</c:v>
                </c:pt>
                <c:pt idx="4">
                  <c:v>2.1758403778076172</c:v>
                </c:pt>
                <c:pt idx="5">
                  <c:v>2.3755669593811035</c:v>
                </c:pt>
                <c:pt idx="6">
                  <c:v>2.5893959999084473</c:v>
                </c:pt>
                <c:pt idx="7">
                  <c:v>2.8291335105895996</c:v>
                </c:pt>
                <c:pt idx="8">
                  <c:v>3.0863349437713623</c:v>
                </c:pt>
                <c:pt idx="9">
                  <c:v>3.3701012134552002</c:v>
                </c:pt>
                <c:pt idx="10">
                  <c:v>3.6953539848327637</c:v>
                </c:pt>
                <c:pt idx="11">
                  <c:v>4.0451216697692871</c:v>
                </c:pt>
                <c:pt idx="12">
                  <c:v>4.4270291328430176</c:v>
                </c:pt>
                <c:pt idx="13">
                  <c:v>4.8337798118591309</c:v>
                </c:pt>
                <c:pt idx="14">
                  <c:v>5.2766876220703125</c:v>
                </c:pt>
                <c:pt idx="15">
                  <c:v>5.7668213844299316</c:v>
                </c:pt>
                <c:pt idx="16">
                  <c:v>6.3062310218811035</c:v>
                </c:pt>
                <c:pt idx="17">
                  <c:v>6.8991799354553223</c:v>
                </c:pt>
                <c:pt idx="18">
                  <c:v>7.5447664260864258</c:v>
                </c:pt>
                <c:pt idx="19">
                  <c:v>8.2520084381103516</c:v>
                </c:pt>
                <c:pt idx="20">
                  <c:v>9.0297622680664062</c:v>
                </c:pt>
                <c:pt idx="21">
                  <c:v>9.8781089782714844</c:v>
                </c:pt>
                <c:pt idx="22">
                  <c:v>10.786225318908691</c:v>
                </c:pt>
                <c:pt idx="23">
                  <c:v>11.885378837585449</c:v>
                </c:pt>
                <c:pt idx="24">
                  <c:v>12.882453918457031</c:v>
                </c:pt>
                <c:pt idx="25">
                  <c:v>14.181661605834961</c:v>
                </c:pt>
                <c:pt idx="26">
                  <c:v>15.471358299255371</c:v>
                </c:pt>
                <c:pt idx="27">
                  <c:v>16.87403678894043</c:v>
                </c:pt>
                <c:pt idx="28">
                  <c:v>18.469144821166992</c:v>
                </c:pt>
                <c:pt idx="29">
                  <c:v>20.256845474243164</c:v>
                </c:pt>
                <c:pt idx="30">
                  <c:v>22.157611846923828</c:v>
                </c:pt>
                <c:pt idx="31">
                  <c:v>24.253019332885742</c:v>
                </c:pt>
                <c:pt idx="32">
                  <c:v>26.609401702880859</c:v>
                </c:pt>
                <c:pt idx="33">
                  <c:v>28.998825073242188</c:v>
                </c:pt>
                <c:pt idx="34">
                  <c:v>34.061103820800781</c:v>
                </c:pt>
                <c:pt idx="35">
                  <c:v>35.878890991210938</c:v>
                </c:pt>
                <c:pt idx="36">
                  <c:v>41.154167175292969</c:v>
                </c:pt>
                <c:pt idx="37">
                  <c:v>44.222831726074219</c:v>
                </c:pt>
                <c:pt idx="38">
                  <c:v>48.779834747314453</c:v>
                </c:pt>
                <c:pt idx="39">
                  <c:v>53.356285095214844</c:v>
                </c:pt>
                <c:pt idx="40">
                  <c:v>57.480136871337891</c:v>
                </c:pt>
                <c:pt idx="41">
                  <c:v>64.225112915039062</c:v>
                </c:pt>
                <c:pt idx="42">
                  <c:v>69.889259338378906</c:v>
                </c:pt>
                <c:pt idx="43">
                  <c:v>76.796829223632812</c:v>
                </c:pt>
                <c:pt idx="44">
                  <c:v>84.046318054199219</c:v>
                </c:pt>
                <c:pt idx="45">
                  <c:v>92.575828552246094</c:v>
                </c:pt>
                <c:pt idx="46">
                  <c:v>100.6356201171875</c:v>
                </c:pt>
                <c:pt idx="47">
                  <c:v>110.51468658447266</c:v>
                </c:pt>
                <c:pt idx="48">
                  <c:v>120.59219360351562</c:v>
                </c:pt>
                <c:pt idx="49">
                  <c:v>132.11007690429687</c:v>
                </c:pt>
                <c:pt idx="50">
                  <c:v>144.09347534179687</c:v>
                </c:pt>
                <c:pt idx="51">
                  <c:v>158.19163513183594</c:v>
                </c:pt>
                <c:pt idx="52">
                  <c:v>173.4166259765625</c:v>
                </c:pt>
                <c:pt idx="53">
                  <c:v>189.05926513671875</c:v>
                </c:pt>
                <c:pt idx="54">
                  <c:v>207.76878356933594</c:v>
                </c:pt>
                <c:pt idx="55">
                  <c:v>227.29307556152344</c:v>
                </c:pt>
                <c:pt idx="56">
                  <c:v>249.35258483886719</c:v>
                </c:pt>
                <c:pt idx="57">
                  <c:v>272.24588012695312</c:v>
                </c:pt>
                <c:pt idx="58">
                  <c:v>298.0125732421875</c:v>
                </c:pt>
                <c:pt idx="59">
                  <c:v>327.05337524414062</c:v>
                </c:pt>
                <c:pt idx="60">
                  <c:v>357.46517944335937</c:v>
                </c:pt>
                <c:pt idx="61">
                  <c:v>391.24301147460937</c:v>
                </c:pt>
                <c:pt idx="62">
                  <c:v>427.23556518554688</c:v>
                </c:pt>
                <c:pt idx="63">
                  <c:v>468.82559204101562</c:v>
                </c:pt>
                <c:pt idx="64">
                  <c:v>512.408935546875</c:v>
                </c:pt>
                <c:pt idx="65">
                  <c:v>561.71441650390625</c:v>
                </c:pt>
                <c:pt idx="66">
                  <c:v>612.82550048828125</c:v>
                </c:pt>
                <c:pt idx="67">
                  <c:v>671.81829833984375</c:v>
                </c:pt>
                <c:pt idx="68">
                  <c:v>733.8936767578125</c:v>
                </c:pt>
                <c:pt idx="69">
                  <c:v>803.9598388671875</c:v>
                </c:pt>
                <c:pt idx="70">
                  <c:v>879.97943115234375</c:v>
                </c:pt>
                <c:pt idx="71">
                  <c:v>963.4012451171875</c:v>
                </c:pt>
                <c:pt idx="72">
                  <c:v>1050.0135498046875</c:v>
                </c:pt>
                <c:pt idx="73">
                  <c:v>1147.9376220703125</c:v>
                </c:pt>
                <c:pt idx="74">
                  <c:v>1258.552734375</c:v>
                </c:pt>
                <c:pt idx="75">
                  <c:v>1378.177490234375</c:v>
                </c:pt>
                <c:pt idx="76">
                  <c:v>1507.92822265625</c:v>
                </c:pt>
                <c:pt idx="77">
                  <c:v>1647.707275390625</c:v>
                </c:pt>
                <c:pt idx="78">
                  <c:v>1807.1123046875</c:v>
                </c:pt>
                <c:pt idx="79">
                  <c:v>1978.6900634765625</c:v>
                </c:pt>
                <c:pt idx="80">
                  <c:v>2157.361572265625</c:v>
                </c:pt>
                <c:pt idx="81">
                  <c:v>2369.808837890625</c:v>
                </c:pt>
                <c:pt idx="82">
                  <c:v>2585.778076171875</c:v>
                </c:pt>
                <c:pt idx="83">
                  <c:v>2828.619384765625</c:v>
                </c:pt>
                <c:pt idx="84">
                  <c:v>3100.37841796875</c:v>
                </c:pt>
                <c:pt idx="85">
                  <c:v>3386.87060546875</c:v>
                </c:pt>
                <c:pt idx="86">
                  <c:v>3707.85498046875</c:v>
                </c:pt>
                <c:pt idx="87">
                  <c:v>4058.780517578125</c:v>
                </c:pt>
                <c:pt idx="88">
                  <c:v>4432.607421875</c:v>
                </c:pt>
                <c:pt idx="89">
                  <c:v>4844.89794921875</c:v>
                </c:pt>
                <c:pt idx="90">
                  <c:v>5304.9794921875</c:v>
                </c:pt>
                <c:pt idx="91">
                  <c:v>5803.25048828125</c:v>
                </c:pt>
                <c:pt idx="92">
                  <c:v>6353.1337890625</c:v>
                </c:pt>
                <c:pt idx="93">
                  <c:v>6942.1123046875</c:v>
                </c:pt>
                <c:pt idx="94">
                  <c:v>7603.11865234375</c:v>
                </c:pt>
                <c:pt idx="95">
                  <c:v>8314.5078125</c:v>
                </c:pt>
                <c:pt idx="96">
                  <c:v>9090.8046875</c:v>
                </c:pt>
                <c:pt idx="97">
                  <c:v>9952.6162109375</c:v>
                </c:pt>
                <c:pt idx="98">
                  <c:v>10884.8642578125</c:v>
                </c:pt>
                <c:pt idx="99">
                  <c:v>11892.8310546875</c:v>
                </c:pt>
                <c:pt idx="100">
                  <c:v>12992.2548828125</c:v>
                </c:pt>
                <c:pt idx="101">
                  <c:v>14291.4453125</c:v>
                </c:pt>
                <c:pt idx="102">
                  <c:v>15593.5263671875</c:v>
                </c:pt>
                <c:pt idx="103">
                  <c:v>17093.470703125</c:v>
                </c:pt>
                <c:pt idx="104">
                  <c:v>18690.732421875</c:v>
                </c:pt>
                <c:pt idx="105">
                  <c:v>20386.40234375</c:v>
                </c:pt>
                <c:pt idx="106">
                  <c:v>22293.76171875</c:v>
                </c:pt>
                <c:pt idx="107">
                  <c:v>24394.078125</c:v>
                </c:pt>
                <c:pt idx="108">
                  <c:v>26694.287109375</c:v>
                </c:pt>
                <c:pt idx="109">
                  <c:v>29294.814453125</c:v>
                </c:pt>
                <c:pt idx="110">
                  <c:v>31996.39453125</c:v>
                </c:pt>
                <c:pt idx="111">
                  <c:v>34994.26171875</c:v>
                </c:pt>
                <c:pt idx="112">
                  <c:v>38273.91015625</c:v>
                </c:pt>
                <c:pt idx="113">
                  <c:v>41869.5703125</c:v>
                </c:pt>
                <c:pt idx="114">
                  <c:v>45769.8203125</c:v>
                </c:pt>
                <c:pt idx="115">
                  <c:v>50070.6953125</c:v>
                </c:pt>
                <c:pt idx="116">
                  <c:v>54767.6796875</c:v>
                </c:pt>
                <c:pt idx="117">
                  <c:v>59465.51171875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42240"/>
        <c:axId val="48844800"/>
      </c:scatterChart>
      <c:valAx>
        <c:axId val="48842240"/>
        <c:scaling>
          <c:orientation val="maxMin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Mercury Saturation, fraction pore space</a:t>
                </a:r>
              </a:p>
            </c:rich>
          </c:tx>
          <c:layout>
            <c:manualLayout>
              <c:xMode val="edge"/>
              <c:yMode val="edge"/>
              <c:x val="0.28169014084507044"/>
              <c:y val="0.936454849498327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/>
            </a:pPr>
            <a:endParaRPr lang="en-US"/>
          </a:p>
        </c:txPr>
        <c:crossAx val="48844800"/>
        <c:crossesAt val="1.0000000000000041E-3"/>
        <c:crossBetween val="midCat"/>
        <c:majorUnit val="0.2"/>
        <c:minorUnit val="0.1"/>
      </c:valAx>
      <c:valAx>
        <c:axId val="48844800"/>
        <c:scaling>
          <c:logBase val="10"/>
          <c:orientation val="minMax"/>
          <c:max val="100000"/>
          <c:min val="0.1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Injection Pressure, psi.</a:t>
                </a:r>
              </a:p>
            </c:rich>
          </c:tx>
          <c:layout>
            <c:manualLayout>
              <c:xMode val="edge"/>
              <c:yMode val="edge"/>
              <c:x val="1.7605633802816906E-2"/>
              <c:y val="0.3377926421404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/>
            </a:pPr>
            <a:endParaRPr lang="en-US"/>
          </a:p>
        </c:txPr>
        <c:crossAx val="48842240"/>
        <c:crosses val="max"/>
        <c:crossBetween val="midCat"/>
        <c:majorUnit val="10"/>
        <c:minorUnit val="10"/>
      </c:valAx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3175">
      <a:solidFill>
        <a:schemeClr val="dk1"/>
      </a:solidFill>
    </a:ln>
  </c:spPr>
  <c:txPr>
    <a:bodyPr/>
    <a:lstStyle/>
    <a:p>
      <a:pPr>
        <a:defRPr sz="575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921" r="0.75000000000000921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4041119369915644"/>
          <c:y val="5.3511705685618735E-2"/>
          <c:w val="0.71747821581027194"/>
          <c:h val="0.81040704360115523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660066"/>
              </a:solidFill>
            </a:ln>
          </c:spPr>
          <c:marker>
            <c:symbol val="circle"/>
            <c:size val="5"/>
            <c:spPr>
              <a:solidFill>
                <a:srgbClr val="660066"/>
              </a:solidFill>
              <a:ln>
                <a:solidFill>
                  <a:srgbClr val="660066"/>
                </a:solidFill>
              </a:ln>
            </c:spPr>
          </c:marker>
          <c:xVal>
            <c:numRef>
              <c:f>Table!$C$18:$C$135</c:f>
              <c:numCache>
                <c:formatCode>0.000</c:formatCode>
                <c:ptCount val="1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0.9998656455730216</c:v>
                </c:pt>
                <c:pt idx="40">
                  <c:v>0.99966411393255405</c:v>
                </c:pt>
                <c:pt idx="41">
                  <c:v>0.99932822786510811</c:v>
                </c:pt>
                <c:pt idx="42">
                  <c:v>0.99899234179766228</c:v>
                </c:pt>
                <c:pt idx="43">
                  <c:v>0.9979175063818353</c:v>
                </c:pt>
                <c:pt idx="44">
                  <c:v>0.99697702539298672</c:v>
                </c:pt>
                <c:pt idx="45">
                  <c:v>0.99408840521295172</c:v>
                </c:pt>
                <c:pt idx="46">
                  <c:v>0.9904608356845358</c:v>
                </c:pt>
                <c:pt idx="47">
                  <c:v>0.9836759371221282</c:v>
                </c:pt>
                <c:pt idx="48">
                  <c:v>0.97198710197501004</c:v>
                </c:pt>
                <c:pt idx="49">
                  <c:v>0.94914684938868732</c:v>
                </c:pt>
                <c:pt idx="50">
                  <c:v>0.90259304044068256</c:v>
                </c:pt>
                <c:pt idx="51">
                  <c:v>0.82916834609700385</c:v>
                </c:pt>
                <c:pt idx="52">
                  <c:v>0.73995700658336694</c:v>
                </c:pt>
                <c:pt idx="53">
                  <c:v>0.6516861480585785</c:v>
                </c:pt>
                <c:pt idx="54">
                  <c:v>0.59122665591831247</c:v>
                </c:pt>
                <c:pt idx="55">
                  <c:v>0.56254198575843073</c:v>
                </c:pt>
                <c:pt idx="56">
                  <c:v>0.53909713825070527</c:v>
                </c:pt>
                <c:pt idx="57">
                  <c:v>0.51961574633884189</c:v>
                </c:pt>
                <c:pt idx="58">
                  <c:v>0.50060459492140263</c:v>
                </c:pt>
                <c:pt idx="59">
                  <c:v>0.48320569662770385</c:v>
                </c:pt>
                <c:pt idx="60">
                  <c:v>0.4664113932554077</c:v>
                </c:pt>
                <c:pt idx="61">
                  <c:v>0.44948273545613326</c:v>
                </c:pt>
                <c:pt idx="62">
                  <c:v>0.43275560929732626</c:v>
                </c:pt>
                <c:pt idx="63">
                  <c:v>0.41643154641945446</c:v>
                </c:pt>
                <c:pt idx="64">
                  <c:v>0.4004433696090286</c:v>
                </c:pt>
                <c:pt idx="65">
                  <c:v>0.3841193067311568</c:v>
                </c:pt>
                <c:pt idx="66">
                  <c:v>0.36900443369609026</c:v>
                </c:pt>
                <c:pt idx="67">
                  <c:v>0.35321778852613195</c:v>
                </c:pt>
                <c:pt idx="68">
                  <c:v>0.33830444713153296</c:v>
                </c:pt>
                <c:pt idx="69">
                  <c:v>0.32325675130995557</c:v>
                </c:pt>
                <c:pt idx="70">
                  <c:v>0.30914953647722687</c:v>
                </c:pt>
                <c:pt idx="71">
                  <c:v>0.29537820771194412</c:v>
                </c:pt>
                <c:pt idx="72">
                  <c:v>0.28227865108155314</c:v>
                </c:pt>
                <c:pt idx="73">
                  <c:v>0.26904474002418366</c:v>
                </c:pt>
                <c:pt idx="74">
                  <c:v>0.2562138922477496</c:v>
                </c:pt>
                <c:pt idx="75">
                  <c:v>0.24371893053876126</c:v>
                </c:pt>
                <c:pt idx="76">
                  <c:v>0.23169420932419726</c:v>
                </c:pt>
                <c:pt idx="77">
                  <c:v>0.22020690581754665</c:v>
                </c:pt>
                <c:pt idx="78">
                  <c:v>0.2085180706704286</c:v>
                </c:pt>
                <c:pt idx="79">
                  <c:v>0.19830713422007251</c:v>
                </c:pt>
                <c:pt idx="80">
                  <c:v>0.18823055219669493</c:v>
                </c:pt>
                <c:pt idx="81">
                  <c:v>0.1775493752519145</c:v>
                </c:pt>
                <c:pt idx="82">
                  <c:v>0.16794303372296115</c:v>
                </c:pt>
                <c:pt idx="83">
                  <c:v>0.15847104662098621</c:v>
                </c:pt>
                <c:pt idx="84">
                  <c:v>0.1486631734515651</c:v>
                </c:pt>
                <c:pt idx="85">
                  <c:v>0.13945989520354696</c:v>
                </c:pt>
                <c:pt idx="86">
                  <c:v>0.13032379416901785</c:v>
                </c:pt>
                <c:pt idx="87">
                  <c:v>0.12199381969635903</c:v>
                </c:pt>
                <c:pt idx="88">
                  <c:v>0.11352949079672159</c:v>
                </c:pt>
                <c:pt idx="89">
                  <c:v>0.10506516189708448</c:v>
                </c:pt>
                <c:pt idx="90">
                  <c:v>9.7205427918849785E-2</c:v>
                </c:pt>
                <c:pt idx="91">
                  <c:v>8.9144162300147656E-2</c:v>
                </c:pt>
                <c:pt idx="92">
                  <c:v>8.1553137175869872E-2</c:v>
                </c:pt>
                <c:pt idx="93">
                  <c:v>7.4432352546016434E-2</c:v>
                </c:pt>
                <c:pt idx="94">
                  <c:v>6.7445922343141063E-2</c:v>
                </c:pt>
                <c:pt idx="95">
                  <c:v>6.0996909848179515E-2</c:v>
                </c:pt>
                <c:pt idx="96">
                  <c:v>5.4682251780196145E-2</c:v>
                </c:pt>
                <c:pt idx="97">
                  <c:v>4.8770656993147976E-2</c:v>
                </c:pt>
                <c:pt idx="98">
                  <c:v>4.3665188767969876E-2</c:v>
                </c:pt>
                <c:pt idx="99">
                  <c:v>3.8425366115813486E-2</c:v>
                </c:pt>
                <c:pt idx="100">
                  <c:v>3.3722961171570587E-2</c:v>
                </c:pt>
                <c:pt idx="101">
                  <c:v>2.8886201800349287E-2</c:v>
                </c:pt>
                <c:pt idx="102">
                  <c:v>2.5124277844954856E-2</c:v>
                </c:pt>
                <c:pt idx="103">
                  <c:v>2.1698239957006593E-2</c:v>
                </c:pt>
                <c:pt idx="104">
                  <c:v>1.8272202069058108E-2</c:v>
                </c:pt>
                <c:pt idx="105">
                  <c:v>1.5047695821577278E-2</c:v>
                </c:pt>
                <c:pt idx="106">
                  <c:v>1.2226252855031539E-2</c:v>
                </c:pt>
                <c:pt idx="107">
                  <c:v>9.7406959559317441E-3</c:v>
                </c:pt>
                <c:pt idx="108">
                  <c:v>7.3894934838102388E-3</c:v>
                </c:pt>
                <c:pt idx="109">
                  <c:v>5.710063146580624E-3</c:v>
                </c:pt>
                <c:pt idx="110">
                  <c:v>4.3665188767969543E-3</c:v>
                </c:pt>
                <c:pt idx="111">
                  <c:v>2.9557973935241399E-3</c:v>
                </c:pt>
                <c:pt idx="112">
                  <c:v>1.6794303372296149E-3</c:v>
                </c:pt>
                <c:pt idx="113">
                  <c:v>7.3894934838092396E-4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</c:numCache>
            </c:numRef>
          </c:xVal>
          <c:yVal>
            <c:numRef>
              <c:f>Table!$L$18:$L$135</c:f>
              <c:numCache>
                <c:formatCode>????0.00</c:formatCode>
                <c:ptCount val="118"/>
                <c:pt idx="0">
                  <c:v>0.34240275727642788</c:v>
                </c:pt>
                <c:pt idx="1">
                  <c:v>0.3587505923172199</c:v>
                </c:pt>
                <c:pt idx="2">
                  <c:v>0.40873305531478155</c:v>
                </c:pt>
                <c:pt idx="3">
                  <c:v>0.45449966999119734</c:v>
                </c:pt>
                <c:pt idx="4">
                  <c:v>0.48855767081241036</c:v>
                </c:pt>
                <c:pt idx="5">
                  <c:v>0.5334037700429004</c:v>
                </c:pt>
                <c:pt idx="6">
                  <c:v>0.58141639958025348</c:v>
                </c:pt>
                <c:pt idx="7">
                  <c:v>0.63524645118668854</c:v>
                </c:pt>
                <c:pt idx="8">
                  <c:v>0.69299780758513396</c:v>
                </c:pt>
                <c:pt idx="9">
                  <c:v>0.75671396488503306</c:v>
                </c:pt>
                <c:pt idx="10">
                  <c:v>0.82974539588072804</c:v>
                </c:pt>
                <c:pt idx="11">
                  <c:v>0.90828134328796284</c:v>
                </c:pt>
                <c:pt idx="12">
                  <c:v>0.9940338748285259</c:v>
                </c:pt>
                <c:pt idx="13">
                  <c:v>1.0853646389637657</c:v>
                </c:pt>
                <c:pt idx="14">
                  <c:v>1.1848140334820489</c:v>
                </c:pt>
                <c:pt idx="15">
                  <c:v>1.294867423320424</c:v>
                </c:pt>
                <c:pt idx="16">
                  <c:v>1.4159850929688049</c:v>
                </c:pt>
                <c:pt idx="17">
                  <c:v>1.5491243356638327</c:v>
                </c:pt>
                <c:pt idx="18">
                  <c:v>1.6940826861879157</c:v>
                </c:pt>
                <c:pt idx="19">
                  <c:v>1.8528850108525805</c:v>
                </c:pt>
                <c:pt idx="20">
                  <c:v>2.0275198799837564</c:v>
                </c:pt>
                <c:pt idx="21">
                  <c:v>2.218005495108144</c:v>
                </c:pt>
                <c:pt idx="22">
                  <c:v>2.4219116312078168</c:v>
                </c:pt>
                <c:pt idx="23">
                  <c:v>2.6687127699434918</c:v>
                </c:pt>
                <c:pt idx="24">
                  <c:v>2.8925934755798806</c:v>
                </c:pt>
                <c:pt idx="25">
                  <c:v>3.1843142691274768</c:v>
                </c:pt>
                <c:pt idx="26">
                  <c:v>3.4738994882540859</c:v>
                </c:pt>
                <c:pt idx="27">
                  <c:v>3.7888533528890007</c:v>
                </c:pt>
                <c:pt idx="28">
                  <c:v>4.1470148581479496</c:v>
                </c:pt>
                <c:pt idx="29">
                  <c:v>4.5484206212199423</c:v>
                </c:pt>
                <c:pt idx="30">
                  <c:v>4.9752138737337654</c:v>
                </c:pt>
                <c:pt idx="31">
                  <c:v>5.4457113473471344</c:v>
                </c:pt>
                <c:pt idx="32">
                  <c:v>5.9748074584268558</c:v>
                </c:pt>
                <c:pt idx="33">
                  <c:v>6.5113225117896931</c:v>
                </c:pt>
                <c:pt idx="34">
                  <c:v>7.6479937212845783</c:v>
                </c:pt>
                <c:pt idx="35">
                  <c:v>8.0561550345253554</c:v>
                </c:pt>
                <c:pt idx="36">
                  <c:v>9.240652147307209</c:v>
                </c:pt>
                <c:pt idx="37">
                  <c:v>9.9296822897411481</c:v>
                </c:pt>
                <c:pt idx="38">
                  <c:v>10.952900171277813</c:v>
                </c:pt>
                <c:pt idx="39">
                  <c:v>11.980484706137727</c:v>
                </c:pt>
                <c:pt idx="40">
                  <c:v>12.906443907496216</c:v>
                </c:pt>
                <c:pt idx="41">
                  <c:v>14.420943693053333</c:v>
                </c:pt>
                <c:pt idx="42">
                  <c:v>15.692756741451516</c:v>
                </c:pt>
                <c:pt idx="43">
                  <c:v>17.243764935128848</c:v>
                </c:pt>
                <c:pt idx="44">
                  <c:v>18.871546740157591</c:v>
                </c:pt>
                <c:pt idx="45">
                  <c:v>20.78674135856734</c:v>
                </c:pt>
                <c:pt idx="46">
                  <c:v>22.596466481036526</c:v>
                </c:pt>
                <c:pt idx="47">
                  <c:v>24.814686968295344</c:v>
                </c:pt>
                <c:pt idx="48">
                  <c:v>27.077464792916938</c:v>
                </c:pt>
                <c:pt idx="49">
                  <c:v>29.663661048631603</c:v>
                </c:pt>
                <c:pt idx="50">
                  <c:v>32.354382890525706</c:v>
                </c:pt>
                <c:pt idx="51">
                  <c:v>35.519947874066823</c:v>
                </c:pt>
                <c:pt idx="52">
                  <c:v>38.938528639965988</c:v>
                </c:pt>
                <c:pt idx="53">
                  <c:v>42.450887097595754</c:v>
                </c:pt>
                <c:pt idx="54">
                  <c:v>46.651874835800832</c:v>
                </c:pt>
                <c:pt idx="55">
                  <c:v>51.035809759177788</c:v>
                </c:pt>
                <c:pt idx="56">
                  <c:v>55.988995931163025</c:v>
                </c:pt>
                <c:pt idx="57">
                  <c:v>61.129398295806027</c:v>
                </c:pt>
                <c:pt idx="58">
                  <c:v>66.914986108824408</c:v>
                </c:pt>
                <c:pt idx="59">
                  <c:v>73.435734013546437</c:v>
                </c:pt>
                <c:pt idx="60">
                  <c:v>80.264323268675653</c:v>
                </c:pt>
                <c:pt idx="61">
                  <c:v>87.848711861973214</c:v>
                </c:pt>
                <c:pt idx="62">
                  <c:v>95.930388434831158</c:v>
                </c:pt>
                <c:pt idx="63">
                  <c:v>105.26890740744395</c:v>
                </c:pt>
                <c:pt idx="64">
                  <c:v>115.0550006368079</c:v>
                </c:pt>
                <c:pt idx="65">
                  <c:v>126.12592807263596</c:v>
                </c:pt>
                <c:pt idx="66">
                  <c:v>137.60228102517391</c:v>
                </c:pt>
                <c:pt idx="67">
                  <c:v>150.84837398632544</c:v>
                </c:pt>
                <c:pt idx="68">
                  <c:v>164.78662175670635</c:v>
                </c:pt>
                <c:pt idx="69">
                  <c:v>180.51909979694412</c:v>
                </c:pt>
                <c:pt idx="70">
                  <c:v>197.58834592444146</c:v>
                </c:pt>
                <c:pt idx="71">
                  <c:v>216.31966810289856</c:v>
                </c:pt>
                <c:pt idx="72">
                  <c:v>235.7673749629287</c:v>
                </c:pt>
                <c:pt idx="73">
                  <c:v>257.75499737793564</c:v>
                </c:pt>
                <c:pt idx="74">
                  <c:v>282.59223368232119</c:v>
                </c:pt>
                <c:pt idx="75">
                  <c:v>309.45247246189905</c:v>
                </c:pt>
                <c:pt idx="76">
                  <c:v>338.5863722942517</c:v>
                </c:pt>
                <c:pt idx="77">
                  <c:v>369.97200569309535</c:v>
                </c:pt>
                <c:pt idx="78">
                  <c:v>405.76440601040906</c:v>
                </c:pt>
                <c:pt idx="79">
                  <c:v>444.29004008364973</c:v>
                </c:pt>
                <c:pt idx="80">
                  <c:v>484.40848676055089</c:v>
                </c:pt>
                <c:pt idx="81">
                  <c:v>532.11085607166615</c:v>
                </c:pt>
                <c:pt idx="82">
                  <c:v>580.60404017560927</c:v>
                </c:pt>
                <c:pt idx="83">
                  <c:v>635.13101068028584</c:v>
                </c:pt>
                <c:pt idx="84">
                  <c:v>696.15109360462725</c:v>
                </c:pt>
                <c:pt idx="85">
                  <c:v>760.47932156590105</c:v>
                </c:pt>
                <c:pt idx="86">
                  <c:v>832.55233768263884</c:v>
                </c:pt>
                <c:pt idx="87">
                  <c:v>911.34826627529651</c:v>
                </c:pt>
                <c:pt idx="88">
                  <c:v>995.28640967638535</c:v>
                </c:pt>
                <c:pt idx="89">
                  <c:v>1087.8610772813877</c:v>
                </c:pt>
                <c:pt idx="90">
                  <c:v>1191.1666181239921</c:v>
                </c:pt>
                <c:pt idx="91">
                  <c:v>1303.0471217527679</c:v>
                </c:pt>
                <c:pt idx="92">
                  <c:v>1426.5165211574335</c:v>
                </c:pt>
                <c:pt idx="93">
                  <c:v>1558.7642607835539</c:v>
                </c:pt>
                <c:pt idx="94">
                  <c:v>1707.1849468306391</c:v>
                </c:pt>
                <c:pt idx="95">
                  <c:v>1866.9184616013004</c:v>
                </c:pt>
                <c:pt idx="96">
                  <c:v>2041.2261897679696</c:v>
                </c:pt>
                <c:pt idx="97">
                  <c:v>2234.7351598488381</c:v>
                </c:pt>
                <c:pt idx="98">
                  <c:v>2444.0597679616762</c:v>
                </c:pt>
                <c:pt idx="99">
                  <c:v>2670.3860718395781</c:v>
                </c:pt>
                <c:pt idx="100">
                  <c:v>2917.2479051720534</c:v>
                </c:pt>
                <c:pt idx="101">
                  <c:v>3208.9648237216829</c:v>
                </c:pt>
                <c:pt idx="102">
                  <c:v>3501.3307958653149</c:v>
                </c:pt>
                <c:pt idx="103">
                  <c:v>3838.1244865184285</c:v>
                </c:pt>
                <c:pt idx="104">
                  <c:v>4196.7695750780103</c:v>
                </c:pt>
                <c:pt idx="105">
                  <c:v>4577.5109915658513</c:v>
                </c:pt>
                <c:pt idx="106">
                  <c:v>5005.7846200712456</c:v>
                </c:pt>
                <c:pt idx="107">
                  <c:v>5477.3843301752186</c:v>
                </c:pt>
                <c:pt idx="108">
                  <c:v>5993.8674119536527</c:v>
                </c:pt>
                <c:pt idx="109">
                  <c:v>6577.7832152014307</c:v>
                </c:pt>
                <c:pt idx="110">
                  <c:v>7184.3891427060362</c:v>
                </c:pt>
                <c:pt idx="111">
                  <c:v>7857.5226250461874</c:v>
                </c:pt>
                <c:pt idx="112">
                  <c:v>8593.9265534092774</c:v>
                </c:pt>
                <c:pt idx="113">
                  <c:v>9401.286950287531</c:v>
                </c:pt>
                <c:pt idx="114">
                  <c:v>10277.039176885186</c:v>
                </c:pt>
                <c:pt idx="115">
                  <c:v>11242.746723213804</c:v>
                </c:pt>
                <c:pt idx="116">
                  <c:v>12297.395662307617</c:v>
                </c:pt>
                <c:pt idx="117">
                  <c:v>13352.234931982373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875008"/>
        <c:axId val="48876928"/>
      </c:scatterChart>
      <c:scatterChart>
        <c:scatterStyle val="lineMarker"/>
        <c:varyColors val="0"/>
        <c:ser>
          <c:idx val="1"/>
          <c:order val="1"/>
          <c:spPr>
            <a:ln>
              <a:noFill/>
            </a:ln>
          </c:spPr>
          <c:marker>
            <c:symbol val="none"/>
          </c:marker>
          <c:xVal>
            <c:numRef>
              <c:f>Table!$C$18:$C$135</c:f>
              <c:numCache>
                <c:formatCode>0.000</c:formatCode>
                <c:ptCount val="1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0.9998656455730216</c:v>
                </c:pt>
                <c:pt idx="40">
                  <c:v>0.99966411393255405</c:v>
                </c:pt>
                <c:pt idx="41">
                  <c:v>0.99932822786510811</c:v>
                </c:pt>
                <c:pt idx="42">
                  <c:v>0.99899234179766228</c:v>
                </c:pt>
                <c:pt idx="43">
                  <c:v>0.9979175063818353</c:v>
                </c:pt>
                <c:pt idx="44">
                  <c:v>0.99697702539298672</c:v>
                </c:pt>
                <c:pt idx="45">
                  <c:v>0.99408840521295172</c:v>
                </c:pt>
                <c:pt idx="46">
                  <c:v>0.9904608356845358</c:v>
                </c:pt>
                <c:pt idx="47">
                  <c:v>0.9836759371221282</c:v>
                </c:pt>
                <c:pt idx="48">
                  <c:v>0.97198710197501004</c:v>
                </c:pt>
                <c:pt idx="49">
                  <c:v>0.94914684938868732</c:v>
                </c:pt>
                <c:pt idx="50">
                  <c:v>0.90259304044068256</c:v>
                </c:pt>
                <c:pt idx="51">
                  <c:v>0.82916834609700385</c:v>
                </c:pt>
                <c:pt idx="52">
                  <c:v>0.73995700658336694</c:v>
                </c:pt>
                <c:pt idx="53">
                  <c:v>0.6516861480585785</c:v>
                </c:pt>
                <c:pt idx="54">
                  <c:v>0.59122665591831247</c:v>
                </c:pt>
                <c:pt idx="55">
                  <c:v>0.56254198575843073</c:v>
                </c:pt>
                <c:pt idx="56">
                  <c:v>0.53909713825070527</c:v>
                </c:pt>
                <c:pt idx="57">
                  <c:v>0.51961574633884189</c:v>
                </c:pt>
                <c:pt idx="58">
                  <c:v>0.50060459492140263</c:v>
                </c:pt>
                <c:pt idx="59">
                  <c:v>0.48320569662770385</c:v>
                </c:pt>
                <c:pt idx="60">
                  <c:v>0.4664113932554077</c:v>
                </c:pt>
                <c:pt idx="61">
                  <c:v>0.44948273545613326</c:v>
                </c:pt>
                <c:pt idx="62">
                  <c:v>0.43275560929732626</c:v>
                </c:pt>
                <c:pt idx="63">
                  <c:v>0.41643154641945446</c:v>
                </c:pt>
                <c:pt idx="64">
                  <c:v>0.4004433696090286</c:v>
                </c:pt>
                <c:pt idx="65">
                  <c:v>0.3841193067311568</c:v>
                </c:pt>
                <c:pt idx="66">
                  <c:v>0.36900443369609026</c:v>
                </c:pt>
                <c:pt idx="67">
                  <c:v>0.35321778852613195</c:v>
                </c:pt>
                <c:pt idx="68">
                  <c:v>0.33830444713153296</c:v>
                </c:pt>
                <c:pt idx="69">
                  <c:v>0.32325675130995557</c:v>
                </c:pt>
                <c:pt idx="70">
                  <c:v>0.30914953647722687</c:v>
                </c:pt>
                <c:pt idx="71">
                  <c:v>0.29537820771194412</c:v>
                </c:pt>
                <c:pt idx="72">
                  <c:v>0.28227865108155314</c:v>
                </c:pt>
                <c:pt idx="73">
                  <c:v>0.26904474002418366</c:v>
                </c:pt>
                <c:pt idx="74">
                  <c:v>0.2562138922477496</c:v>
                </c:pt>
                <c:pt idx="75">
                  <c:v>0.24371893053876126</c:v>
                </c:pt>
                <c:pt idx="76">
                  <c:v>0.23169420932419726</c:v>
                </c:pt>
                <c:pt idx="77">
                  <c:v>0.22020690581754665</c:v>
                </c:pt>
                <c:pt idx="78">
                  <c:v>0.2085180706704286</c:v>
                </c:pt>
                <c:pt idx="79">
                  <c:v>0.19830713422007251</c:v>
                </c:pt>
                <c:pt idx="80">
                  <c:v>0.18823055219669493</c:v>
                </c:pt>
                <c:pt idx="81">
                  <c:v>0.1775493752519145</c:v>
                </c:pt>
                <c:pt idx="82">
                  <c:v>0.16794303372296115</c:v>
                </c:pt>
                <c:pt idx="83">
                  <c:v>0.15847104662098621</c:v>
                </c:pt>
                <c:pt idx="84">
                  <c:v>0.1486631734515651</c:v>
                </c:pt>
                <c:pt idx="85">
                  <c:v>0.13945989520354696</c:v>
                </c:pt>
                <c:pt idx="86">
                  <c:v>0.13032379416901785</c:v>
                </c:pt>
                <c:pt idx="87">
                  <c:v>0.12199381969635903</c:v>
                </c:pt>
                <c:pt idx="88">
                  <c:v>0.11352949079672159</c:v>
                </c:pt>
                <c:pt idx="89">
                  <c:v>0.10506516189708448</c:v>
                </c:pt>
                <c:pt idx="90">
                  <c:v>9.7205427918849785E-2</c:v>
                </c:pt>
                <c:pt idx="91">
                  <c:v>8.9144162300147656E-2</c:v>
                </c:pt>
                <c:pt idx="92">
                  <c:v>8.1553137175869872E-2</c:v>
                </c:pt>
                <c:pt idx="93">
                  <c:v>7.4432352546016434E-2</c:v>
                </c:pt>
                <c:pt idx="94">
                  <c:v>6.7445922343141063E-2</c:v>
                </c:pt>
                <c:pt idx="95">
                  <c:v>6.0996909848179515E-2</c:v>
                </c:pt>
                <c:pt idx="96">
                  <c:v>5.4682251780196145E-2</c:v>
                </c:pt>
                <c:pt idx="97">
                  <c:v>4.8770656993147976E-2</c:v>
                </c:pt>
                <c:pt idx="98">
                  <c:v>4.3665188767969876E-2</c:v>
                </c:pt>
                <c:pt idx="99">
                  <c:v>3.8425366115813486E-2</c:v>
                </c:pt>
                <c:pt idx="100">
                  <c:v>3.3722961171570587E-2</c:v>
                </c:pt>
                <c:pt idx="101">
                  <c:v>2.8886201800349287E-2</c:v>
                </c:pt>
                <c:pt idx="102">
                  <c:v>2.5124277844954856E-2</c:v>
                </c:pt>
                <c:pt idx="103">
                  <c:v>2.1698239957006593E-2</c:v>
                </c:pt>
                <c:pt idx="104">
                  <c:v>1.8272202069058108E-2</c:v>
                </c:pt>
                <c:pt idx="105">
                  <c:v>1.5047695821577278E-2</c:v>
                </c:pt>
                <c:pt idx="106">
                  <c:v>1.2226252855031539E-2</c:v>
                </c:pt>
                <c:pt idx="107">
                  <c:v>9.7406959559317441E-3</c:v>
                </c:pt>
                <c:pt idx="108">
                  <c:v>7.3894934838102388E-3</c:v>
                </c:pt>
                <c:pt idx="109">
                  <c:v>5.710063146580624E-3</c:v>
                </c:pt>
                <c:pt idx="110">
                  <c:v>4.3665188767969543E-3</c:v>
                </c:pt>
                <c:pt idx="111">
                  <c:v>2.9557973935241399E-3</c:v>
                </c:pt>
                <c:pt idx="112">
                  <c:v>1.6794303372296149E-3</c:v>
                </c:pt>
                <c:pt idx="113">
                  <c:v>7.3894934838092396E-4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</c:numCache>
            </c:numRef>
          </c:xVal>
          <c:yVal>
            <c:numRef>
              <c:f>Table!$O$18:$O$135</c:f>
              <c:numCache>
                <c:formatCode>????0.00</c:formatCode>
                <c:ptCount val="118"/>
                <c:pt idx="0">
                  <c:v>0.73445464881258671</c:v>
                </c:pt>
                <c:pt idx="1">
                  <c:v>0.76952079004122687</c:v>
                </c:pt>
                <c:pt idx="2">
                  <c:v>0.87673328038348686</c:v>
                </c:pt>
                <c:pt idx="3">
                  <c:v>0.97490276703388556</c:v>
                </c:pt>
                <c:pt idx="4">
                  <c:v>1.0479572518498721</c:v>
                </c:pt>
                <c:pt idx="5">
                  <c:v>1.1441522308942524</c:v>
                </c:pt>
                <c:pt idx="6">
                  <c:v>1.2471394242390681</c:v>
                </c:pt>
                <c:pt idx="7">
                  <c:v>1.3626050004004475</c:v>
                </c:pt>
                <c:pt idx="8">
                  <c:v>1.4864817837518964</c:v>
                </c:pt>
                <c:pt idx="9">
                  <c:v>1.623153077831474</c:v>
                </c:pt>
                <c:pt idx="10">
                  <c:v>1.7798056539698157</c:v>
                </c:pt>
                <c:pt idx="11">
                  <c:v>1.9482654296181103</c:v>
                </c:pt>
                <c:pt idx="12">
                  <c:v>2.1322047937119821</c:v>
                </c:pt>
                <c:pt idx="13">
                  <c:v>2.3281094786867564</c:v>
                </c:pt>
                <c:pt idx="14">
                  <c:v>2.5414286432476385</c:v>
                </c:pt>
                <c:pt idx="15">
                  <c:v>2.7774934005157106</c:v>
                </c:pt>
                <c:pt idx="16">
                  <c:v>3.0372910617091491</c:v>
                </c:pt>
                <c:pt idx="17">
                  <c:v>3.3228750228739443</c:v>
                </c:pt>
                <c:pt idx="18">
                  <c:v>3.6338109956840752</c:v>
                </c:pt>
                <c:pt idx="19">
                  <c:v>3.9744423227211083</c:v>
                </c:pt>
                <c:pt idx="20">
                  <c:v>4.3490344915996495</c:v>
                </c:pt>
                <c:pt idx="21">
                  <c:v>4.7576265446335135</c:v>
                </c:pt>
                <c:pt idx="22">
                  <c:v>5.1950056439464118</c:v>
                </c:pt>
                <c:pt idx="23">
                  <c:v>5.7243946159234067</c:v>
                </c:pt>
                <c:pt idx="24">
                  <c:v>6.2046192097380546</c:v>
                </c:pt>
                <c:pt idx="25">
                  <c:v>6.8303609376393766</c:v>
                </c:pt>
                <c:pt idx="26">
                  <c:v>7.4515218538268684</c:v>
                </c:pt>
                <c:pt idx="27">
                  <c:v>8.1270985690454776</c:v>
                </c:pt>
                <c:pt idx="28">
                  <c:v>8.8953557660831191</c:v>
                </c:pt>
                <c:pt idx="29">
                  <c:v>9.7563719888887661</c:v>
                </c:pt>
                <c:pt idx="30">
                  <c:v>10.671844431003359</c:v>
                </c:pt>
                <c:pt idx="31">
                  <c:v>11.681062521122126</c:v>
                </c:pt>
                <c:pt idx="32">
                  <c:v>12.815974814300422</c:v>
                </c:pt>
                <c:pt idx="33">
                  <c:v>13.966800754589647</c:v>
                </c:pt>
                <c:pt idx="34">
                  <c:v>16.404962937118359</c:v>
                </c:pt>
                <c:pt idx="35">
                  <c:v>17.280469829526719</c:v>
                </c:pt>
                <c:pt idx="36">
                  <c:v>19.821218677192643</c:v>
                </c:pt>
                <c:pt idx="37">
                  <c:v>21.299189810684577</c:v>
                </c:pt>
                <c:pt idx="38">
                  <c:v>23.493994361385273</c:v>
                </c:pt>
                <c:pt idx="39">
                  <c:v>25.698165392830816</c:v>
                </c:pt>
                <c:pt idx="40">
                  <c:v>27.684349865929253</c:v>
                </c:pt>
                <c:pt idx="41">
                  <c:v>30.932955154554559</c:v>
                </c:pt>
                <c:pt idx="42">
                  <c:v>33.660996871410376</c:v>
                </c:pt>
                <c:pt idx="43">
                  <c:v>36.987912773764158</c:v>
                </c:pt>
                <c:pt idx="44">
                  <c:v>40.479508237146277</c:v>
                </c:pt>
                <c:pt idx="45">
                  <c:v>44.58760480173175</c:v>
                </c:pt>
                <c:pt idx="46">
                  <c:v>48.469469071292423</c:v>
                </c:pt>
                <c:pt idx="47">
                  <c:v>53.227556774550301</c:v>
                </c:pt>
                <c:pt idx="48">
                  <c:v>58.081220062026908</c:v>
                </c:pt>
                <c:pt idx="49">
                  <c:v>63.628616577931375</c:v>
                </c:pt>
                <c:pt idx="50">
                  <c:v>69.40022070039835</c:v>
                </c:pt>
                <c:pt idx="51">
                  <c:v>76.190364380237725</c:v>
                </c:pt>
                <c:pt idx="52">
                  <c:v>83.523227455954512</c:v>
                </c:pt>
                <c:pt idx="53">
                  <c:v>91.057243881586786</c:v>
                </c:pt>
                <c:pt idx="54">
                  <c:v>100.06837159116439</c:v>
                </c:pt>
                <c:pt idx="55">
                  <c:v>109.47192140535776</c:v>
                </c:pt>
                <c:pt idx="56">
                  <c:v>120.09651636886107</c:v>
                </c:pt>
                <c:pt idx="57">
                  <c:v>131.12269046719442</c:v>
                </c:pt>
                <c:pt idx="58">
                  <c:v>143.53278873621713</c:v>
                </c:pt>
                <c:pt idx="59">
                  <c:v>157.5198069788641</c:v>
                </c:pt>
                <c:pt idx="60">
                  <c:v>172.16714557845486</c:v>
                </c:pt>
                <c:pt idx="61">
                  <c:v>188.43567537960794</c:v>
                </c:pt>
                <c:pt idx="62">
                  <c:v>205.77088896360183</c:v>
                </c:pt>
                <c:pt idx="63">
                  <c:v>225.80203219099948</c:v>
                </c:pt>
                <c:pt idx="64">
                  <c:v>246.79322315917616</c:v>
                </c:pt>
                <c:pt idx="65">
                  <c:v>270.5403862561904</c:v>
                </c:pt>
                <c:pt idx="66">
                  <c:v>295.15718795618602</c:v>
                </c:pt>
                <c:pt idx="67">
                  <c:v>323.57008577075391</c:v>
                </c:pt>
                <c:pt idx="68">
                  <c:v>353.46765713579231</c:v>
                </c:pt>
                <c:pt idx="69">
                  <c:v>387.21385627830142</c:v>
                </c:pt>
                <c:pt idx="70">
                  <c:v>423.82742583535281</c:v>
                </c:pt>
                <c:pt idx="71">
                  <c:v>464.00615208686958</c:v>
                </c:pt>
                <c:pt idx="72">
                  <c:v>505.72152501700708</c:v>
                </c:pt>
                <c:pt idx="73">
                  <c:v>552.88502226069431</c:v>
                </c:pt>
                <c:pt idx="74">
                  <c:v>606.16094740952644</c:v>
                </c:pt>
                <c:pt idx="75">
                  <c:v>663.77621720699074</c:v>
                </c:pt>
                <c:pt idx="76">
                  <c:v>726.26849483966475</c:v>
                </c:pt>
                <c:pt idx="77">
                  <c:v>793.59074580243544</c:v>
                </c:pt>
                <c:pt idx="78">
                  <c:v>870.36552125784874</c:v>
                </c:pt>
                <c:pt idx="79">
                  <c:v>953.00308898251774</c:v>
                </c:pt>
                <c:pt idx="80">
                  <c:v>1039.0572431586249</c:v>
                </c:pt>
                <c:pt idx="81">
                  <c:v>1141.3789276526518</c:v>
                </c:pt>
                <c:pt idx="82">
                  <c:v>1245.3969115735938</c:v>
                </c:pt>
                <c:pt idx="83">
                  <c:v>1362.3573802665935</c:v>
                </c:pt>
                <c:pt idx="84">
                  <c:v>1493.2455890275148</c:v>
                </c:pt>
                <c:pt idx="85">
                  <c:v>1631.2297759886339</c:v>
                </c:pt>
                <c:pt idx="86">
                  <c:v>1785.8265501558108</c:v>
                </c:pt>
                <c:pt idx="87">
                  <c:v>1954.8439860044973</c:v>
                </c:pt>
                <c:pt idx="88">
                  <c:v>2134.8914836473305</c:v>
                </c:pt>
                <c:pt idx="89">
                  <c:v>2333.4643442329211</c:v>
                </c:pt>
                <c:pt idx="90">
                  <c:v>2555.0549509309144</c:v>
                </c:pt>
                <c:pt idx="91">
                  <c:v>2795.0388711985588</c:v>
                </c:pt>
                <c:pt idx="92">
                  <c:v>3059.8809977636934</c:v>
                </c:pt>
                <c:pt idx="93">
                  <c:v>3343.5526829334062</c:v>
                </c:pt>
                <c:pt idx="94">
                  <c:v>3661.9153728670944</c:v>
                </c:pt>
                <c:pt idx="95">
                  <c:v>4004.5441046788947</c:v>
                </c:pt>
                <c:pt idx="96">
                  <c:v>4378.4345554868505</c:v>
                </c:pt>
                <c:pt idx="97">
                  <c:v>4793.5117113874694</c:v>
                </c:pt>
                <c:pt idx="98">
                  <c:v>5242.5134447912415</c:v>
                </c:pt>
                <c:pt idx="99">
                  <c:v>5727.9838520797475</c:v>
                </c:pt>
                <c:pt idx="100">
                  <c:v>6257.5030140970694</c:v>
                </c:pt>
                <c:pt idx="101">
                  <c:v>6883.2364301194411</c:v>
                </c:pt>
                <c:pt idx="102">
                  <c:v>7510.3620674931681</c:v>
                </c:pt>
                <c:pt idx="103">
                  <c:v>8232.7852563672859</c:v>
                </c:pt>
                <c:pt idx="104">
                  <c:v>9002.0797406220736</c:v>
                </c:pt>
                <c:pt idx="105">
                  <c:v>9818.7708956796487</c:v>
                </c:pt>
                <c:pt idx="106">
                  <c:v>10737.418747471571</c:v>
                </c:pt>
                <c:pt idx="107">
                  <c:v>11749.001137226982</c:v>
                </c:pt>
                <c:pt idx="108">
                  <c:v>12856.858455499041</c:v>
                </c:pt>
                <c:pt idx="109">
                  <c:v>14109.359105966176</c:v>
                </c:pt>
                <c:pt idx="110">
                  <c:v>15410.530121634571</c:v>
                </c:pt>
                <c:pt idx="111">
                  <c:v>16854.402885126958</c:v>
                </c:pt>
                <c:pt idx="112">
                  <c:v>18433.990891053792</c:v>
                </c:pt>
                <c:pt idx="113">
                  <c:v>20165.780674147431</c:v>
                </c:pt>
                <c:pt idx="114">
                  <c:v>22044.271078689806</c:v>
                </c:pt>
                <c:pt idx="115">
                  <c:v>24115.715837009451</c:v>
                </c:pt>
                <c:pt idx="116">
                  <c:v>26377.940073589914</c:v>
                </c:pt>
                <c:pt idx="117">
                  <c:v>28640.572569674765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967040"/>
        <c:axId val="48965120"/>
      </c:scatterChart>
      <c:valAx>
        <c:axId val="48875008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Wetting Phase Saturation (1- Hg), fraction pore space</a:t>
                </a:r>
              </a:p>
            </c:rich>
          </c:tx>
          <c:layout>
            <c:manualLayout>
              <c:xMode val="edge"/>
              <c:yMode val="edge"/>
              <c:x val="0.20890446913314276"/>
              <c:y val="0.936454849498327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50"/>
            </a:pPr>
            <a:endParaRPr lang="en-US"/>
          </a:p>
        </c:txPr>
        <c:crossAx val="48876928"/>
        <c:crossesAt val="0"/>
        <c:crossBetween val="midCat"/>
        <c:majorUnit val="0.2"/>
        <c:minorUnit val="0.1"/>
      </c:valAx>
      <c:valAx>
        <c:axId val="48876928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50" b="0"/>
                  <a:t>Equivalent </a:t>
                </a:r>
                <a:r>
                  <a:rPr lang="en-US" sz="600" b="0"/>
                  <a:t>Gas-Water</a:t>
                </a:r>
                <a:r>
                  <a:rPr lang="en-US" sz="550" b="0"/>
                  <a:t> Capillary Pressure, psi.</a:t>
                </a:r>
              </a:p>
            </c:rich>
          </c:tx>
          <c:layout>
            <c:manualLayout>
              <c:xMode val="edge"/>
              <c:yMode val="edge"/>
              <c:x val="1.7123287671232879E-2"/>
              <c:y val="0.22742474916387959"/>
            </c:manualLayout>
          </c:layout>
          <c:overlay val="0"/>
          <c:spPr>
            <a:noFill/>
            <a:ln w="25400">
              <a:noFill/>
            </a:ln>
          </c:spPr>
        </c:title>
        <c:numFmt formatCode="????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50"/>
            </a:pPr>
            <a:endParaRPr lang="en-US"/>
          </a:p>
        </c:txPr>
        <c:crossAx val="48875008"/>
        <c:crossesAt val="0"/>
        <c:crossBetween val="midCat"/>
        <c:majorUnit val="40"/>
        <c:minorUnit val="20"/>
      </c:valAx>
      <c:valAx>
        <c:axId val="48965120"/>
        <c:scaling>
          <c:orientation val="minMax"/>
          <c:max val="429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1"/>
                  <a:t>Estimated Height Above Free Water, ft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48967040"/>
        <c:crosses val="max"/>
        <c:crossBetween val="midCat"/>
        <c:majorUnit val="85.8"/>
        <c:minorUnit val="42.9"/>
      </c:valAx>
      <c:valAx>
        <c:axId val="48967040"/>
        <c:scaling>
          <c:orientation val="minMax"/>
        </c:scaling>
        <c:delete val="1"/>
        <c:axPos val="b"/>
        <c:numFmt formatCode="0.000" sourceLinked="1"/>
        <c:majorTickMark val="out"/>
        <c:minorTickMark val="none"/>
        <c:tickLblPos val="none"/>
        <c:crossAx val="48965120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plotVisOnly val="1"/>
    <c:dispBlanksAs val="gap"/>
    <c:showDLblsOverMax val="0"/>
  </c:chart>
  <c:spPr>
    <a:solidFill>
      <a:schemeClr val="accent2">
        <a:lumMod val="20000"/>
        <a:lumOff val="80000"/>
      </a:schemeClr>
    </a:solidFill>
    <a:ln w="3175">
      <a:solidFill>
        <a:sysClr val="windowText" lastClr="000000"/>
      </a:solidFill>
    </a:ln>
  </c:spPr>
  <c:txPr>
    <a:bodyPr/>
    <a:lstStyle/>
    <a:p>
      <a:pPr>
        <a:defRPr sz="575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1199" r="0.75000000000001199" t="1" header="0.5" footer="0.5"/>
    <c:pageSetup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9031174022717789"/>
          <c:y val="7.0234113712374549E-2"/>
          <c:w val="0.73356525323931165"/>
          <c:h val="0.79152731326644366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FF00"/>
              </a:solidFill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</a:ln>
            </c:spPr>
          </c:marker>
          <c:xVal>
            <c:numRef>
              <c:f>Table!$C$18:$C$135</c:f>
              <c:numCache>
                <c:formatCode>0.000</c:formatCode>
                <c:ptCount val="1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0.9998656455730216</c:v>
                </c:pt>
                <c:pt idx="40">
                  <c:v>0.99966411393255405</c:v>
                </c:pt>
                <c:pt idx="41">
                  <c:v>0.99932822786510811</c:v>
                </c:pt>
                <c:pt idx="42">
                  <c:v>0.99899234179766228</c:v>
                </c:pt>
                <c:pt idx="43">
                  <c:v>0.9979175063818353</c:v>
                </c:pt>
                <c:pt idx="44">
                  <c:v>0.99697702539298672</c:v>
                </c:pt>
                <c:pt idx="45">
                  <c:v>0.99408840521295172</c:v>
                </c:pt>
                <c:pt idx="46">
                  <c:v>0.9904608356845358</c:v>
                </c:pt>
                <c:pt idx="47">
                  <c:v>0.9836759371221282</c:v>
                </c:pt>
                <c:pt idx="48">
                  <c:v>0.97198710197501004</c:v>
                </c:pt>
                <c:pt idx="49">
                  <c:v>0.94914684938868732</c:v>
                </c:pt>
                <c:pt idx="50">
                  <c:v>0.90259304044068256</c:v>
                </c:pt>
                <c:pt idx="51">
                  <c:v>0.82916834609700385</c:v>
                </c:pt>
                <c:pt idx="52">
                  <c:v>0.73995700658336694</c:v>
                </c:pt>
                <c:pt idx="53">
                  <c:v>0.6516861480585785</c:v>
                </c:pt>
                <c:pt idx="54">
                  <c:v>0.59122665591831247</c:v>
                </c:pt>
                <c:pt idx="55">
                  <c:v>0.56254198575843073</c:v>
                </c:pt>
                <c:pt idx="56">
                  <c:v>0.53909713825070527</c:v>
                </c:pt>
                <c:pt idx="57">
                  <c:v>0.51961574633884189</c:v>
                </c:pt>
                <c:pt idx="58">
                  <c:v>0.50060459492140263</c:v>
                </c:pt>
                <c:pt idx="59">
                  <c:v>0.48320569662770385</c:v>
                </c:pt>
                <c:pt idx="60">
                  <c:v>0.4664113932554077</c:v>
                </c:pt>
                <c:pt idx="61">
                  <c:v>0.44948273545613326</c:v>
                </c:pt>
                <c:pt idx="62">
                  <c:v>0.43275560929732626</c:v>
                </c:pt>
                <c:pt idx="63">
                  <c:v>0.41643154641945446</c:v>
                </c:pt>
                <c:pt idx="64">
                  <c:v>0.4004433696090286</c:v>
                </c:pt>
                <c:pt idx="65">
                  <c:v>0.3841193067311568</c:v>
                </c:pt>
                <c:pt idx="66">
                  <c:v>0.36900443369609026</c:v>
                </c:pt>
                <c:pt idx="67">
                  <c:v>0.35321778852613195</c:v>
                </c:pt>
                <c:pt idx="68">
                  <c:v>0.33830444713153296</c:v>
                </c:pt>
                <c:pt idx="69">
                  <c:v>0.32325675130995557</c:v>
                </c:pt>
                <c:pt idx="70">
                  <c:v>0.30914953647722687</c:v>
                </c:pt>
                <c:pt idx="71">
                  <c:v>0.29537820771194412</c:v>
                </c:pt>
                <c:pt idx="72">
                  <c:v>0.28227865108155314</c:v>
                </c:pt>
                <c:pt idx="73">
                  <c:v>0.26904474002418366</c:v>
                </c:pt>
                <c:pt idx="74">
                  <c:v>0.2562138922477496</c:v>
                </c:pt>
                <c:pt idx="75">
                  <c:v>0.24371893053876126</c:v>
                </c:pt>
                <c:pt idx="76">
                  <c:v>0.23169420932419726</c:v>
                </c:pt>
                <c:pt idx="77">
                  <c:v>0.22020690581754665</c:v>
                </c:pt>
                <c:pt idx="78">
                  <c:v>0.2085180706704286</c:v>
                </c:pt>
                <c:pt idx="79">
                  <c:v>0.19830713422007251</c:v>
                </c:pt>
                <c:pt idx="80">
                  <c:v>0.18823055219669493</c:v>
                </c:pt>
                <c:pt idx="81">
                  <c:v>0.1775493752519145</c:v>
                </c:pt>
                <c:pt idx="82">
                  <c:v>0.16794303372296115</c:v>
                </c:pt>
                <c:pt idx="83">
                  <c:v>0.15847104662098621</c:v>
                </c:pt>
                <c:pt idx="84">
                  <c:v>0.1486631734515651</c:v>
                </c:pt>
                <c:pt idx="85">
                  <c:v>0.13945989520354696</c:v>
                </c:pt>
                <c:pt idx="86">
                  <c:v>0.13032379416901785</c:v>
                </c:pt>
                <c:pt idx="87">
                  <c:v>0.12199381969635903</c:v>
                </c:pt>
                <c:pt idx="88">
                  <c:v>0.11352949079672159</c:v>
                </c:pt>
                <c:pt idx="89">
                  <c:v>0.10506516189708448</c:v>
                </c:pt>
                <c:pt idx="90">
                  <c:v>9.7205427918849785E-2</c:v>
                </c:pt>
                <c:pt idx="91">
                  <c:v>8.9144162300147656E-2</c:v>
                </c:pt>
                <c:pt idx="92">
                  <c:v>8.1553137175869872E-2</c:v>
                </c:pt>
                <c:pt idx="93">
                  <c:v>7.4432352546016434E-2</c:v>
                </c:pt>
                <c:pt idx="94">
                  <c:v>6.7445922343141063E-2</c:v>
                </c:pt>
                <c:pt idx="95">
                  <c:v>6.0996909848179515E-2</c:v>
                </c:pt>
                <c:pt idx="96">
                  <c:v>5.4682251780196145E-2</c:v>
                </c:pt>
                <c:pt idx="97">
                  <c:v>4.8770656993147976E-2</c:v>
                </c:pt>
                <c:pt idx="98">
                  <c:v>4.3665188767969876E-2</c:v>
                </c:pt>
                <c:pt idx="99">
                  <c:v>3.8425366115813486E-2</c:v>
                </c:pt>
                <c:pt idx="100">
                  <c:v>3.3722961171570587E-2</c:v>
                </c:pt>
                <c:pt idx="101">
                  <c:v>2.8886201800349287E-2</c:v>
                </c:pt>
                <c:pt idx="102">
                  <c:v>2.5124277844954856E-2</c:v>
                </c:pt>
                <c:pt idx="103">
                  <c:v>2.1698239957006593E-2</c:v>
                </c:pt>
                <c:pt idx="104">
                  <c:v>1.8272202069058108E-2</c:v>
                </c:pt>
                <c:pt idx="105">
                  <c:v>1.5047695821577278E-2</c:v>
                </c:pt>
                <c:pt idx="106">
                  <c:v>1.2226252855031539E-2</c:v>
                </c:pt>
                <c:pt idx="107">
                  <c:v>9.7406959559317441E-3</c:v>
                </c:pt>
                <c:pt idx="108">
                  <c:v>7.3894934838102388E-3</c:v>
                </c:pt>
                <c:pt idx="109">
                  <c:v>5.710063146580624E-3</c:v>
                </c:pt>
                <c:pt idx="110">
                  <c:v>4.3665188767969543E-3</c:v>
                </c:pt>
                <c:pt idx="111">
                  <c:v>2.9557973935241399E-3</c:v>
                </c:pt>
                <c:pt idx="112">
                  <c:v>1.6794303372296149E-3</c:v>
                </c:pt>
                <c:pt idx="113">
                  <c:v>7.3894934838092396E-4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</c:numCache>
            </c:numRef>
          </c:xVal>
          <c:yVal>
            <c:numRef>
              <c:f>Table!$K$18:$K$135</c:f>
              <c:numCache>
                <c:formatCode>??0.000</c:formatCode>
                <c:ptCount val="118"/>
                <c:pt idx="0">
                  <c:v>2.701366014055961E-3</c:v>
                </c:pt>
                <c:pt idx="1">
                  <c:v>2.8303412779640616E-3</c:v>
                </c:pt>
                <c:pt idx="2">
                  <c:v>3.2246749215200268E-3</c:v>
                </c:pt>
                <c:pt idx="3">
                  <c:v>3.5857478826394778E-3</c:v>
                </c:pt>
                <c:pt idx="4">
                  <c:v>3.8544464371047943E-3</c:v>
                </c:pt>
                <c:pt idx="5">
                  <c:v>4.208257046831935E-3</c:v>
                </c:pt>
                <c:pt idx="6">
                  <c:v>4.5870498074666163E-3</c:v>
                </c:pt>
                <c:pt idx="7">
                  <c:v>5.0117387705496622E-3</c:v>
                </c:pt>
                <c:pt idx="8">
                  <c:v>5.467364632564687E-3</c:v>
                </c:pt>
                <c:pt idx="9">
                  <c:v>5.9700494334853612E-3</c:v>
                </c:pt>
                <c:pt idx="10">
                  <c:v>6.5462265274401632E-3</c:v>
                </c:pt>
                <c:pt idx="11">
                  <c:v>7.1658311734282042E-3</c:v>
                </c:pt>
                <c:pt idx="12">
                  <c:v>7.8423706270399178E-3</c:v>
                </c:pt>
                <c:pt idx="13">
                  <c:v>8.5629192120897715E-3</c:v>
                </c:pt>
                <c:pt idx="14">
                  <c:v>9.3475192445399997E-3</c:v>
                </c:pt>
                <c:pt idx="15">
                  <c:v>1.021577886197359E-2</c:v>
                </c:pt>
                <c:pt idx="16">
                  <c:v>1.1171329451262953E-2</c:v>
                </c:pt>
                <c:pt idx="17">
                  <c:v>1.2221723519974083E-2</c:v>
                </c:pt>
                <c:pt idx="18">
                  <c:v>1.3365363730917932E-2</c:v>
                </c:pt>
                <c:pt idx="19">
                  <c:v>1.4618225145395037E-2</c:v>
                </c:pt>
                <c:pt idx="20">
                  <c:v>1.5995996469704829E-2</c:v>
                </c:pt>
                <c:pt idx="21">
                  <c:v>1.7498821303700372E-2</c:v>
                </c:pt>
                <c:pt idx="22">
                  <c:v>1.910752653288296E-2</c:v>
                </c:pt>
                <c:pt idx="23">
                  <c:v>2.1054649312249554E-2</c:v>
                </c:pt>
                <c:pt idx="24">
                  <c:v>2.2820942709591428E-2</c:v>
                </c:pt>
                <c:pt idx="25">
                  <c:v>2.5122456411032532E-2</c:v>
                </c:pt>
                <c:pt idx="26">
                  <c:v>2.7407121626184482E-2</c:v>
                </c:pt>
                <c:pt idx="27">
                  <c:v>2.9891931248302882E-2</c:v>
                </c:pt>
                <c:pt idx="28">
                  <c:v>3.2717624959257875E-2</c:v>
                </c:pt>
                <c:pt idx="29">
                  <c:v>3.5884491648165609E-2</c:v>
                </c:pt>
                <c:pt idx="30">
                  <c:v>3.9251651412122966E-2</c:v>
                </c:pt>
                <c:pt idx="31">
                  <c:v>4.2963613006790427E-2</c:v>
                </c:pt>
                <c:pt idx="32">
                  <c:v>4.7137885036632909E-2</c:v>
                </c:pt>
                <c:pt idx="33">
                  <c:v>5.1370688366583095E-2</c:v>
                </c:pt>
                <c:pt idx="34">
                  <c:v>6.0338387689186514E-2</c:v>
                </c:pt>
                <c:pt idx="35">
                  <c:v>6.3558551885910392E-2</c:v>
                </c:pt>
                <c:pt idx="36">
                  <c:v>7.2903570803597106E-2</c:v>
                </c:pt>
                <c:pt idx="37">
                  <c:v>7.8339632779957008E-2</c:v>
                </c:pt>
                <c:pt idx="38">
                  <c:v>8.6412248877280037E-2</c:v>
                </c:pt>
                <c:pt idx="39">
                  <c:v>9.4519315424057448E-2</c:v>
                </c:pt>
                <c:pt idx="40">
                  <c:v>0.1018246149983037</c:v>
                </c:pt>
                <c:pt idx="41">
                  <c:v>0.11377317020720967</c:v>
                </c:pt>
                <c:pt idx="42">
                  <c:v>0.12380706296118102</c:v>
                </c:pt>
                <c:pt idx="43">
                  <c:v>0.13604364906594693</c:v>
                </c:pt>
                <c:pt idx="44">
                  <c:v>0.14888593597210448</c:v>
                </c:pt>
                <c:pt idx="45">
                  <c:v>0.16399574902859865</c:v>
                </c:pt>
                <c:pt idx="46">
                  <c:v>0.17827346682359513</c:v>
                </c:pt>
                <c:pt idx="47">
                  <c:v>0.19577398429497164</c:v>
                </c:pt>
                <c:pt idx="48">
                  <c:v>0.21362603420664175</c:v>
                </c:pt>
                <c:pt idx="49">
                  <c:v>0.23402967442974384</c:v>
                </c:pt>
                <c:pt idx="50">
                  <c:v>0.25525796299490483</c:v>
                </c:pt>
                <c:pt idx="51">
                  <c:v>0.28023249804200417</c:v>
                </c:pt>
                <c:pt idx="52">
                  <c:v>0.30720318592653523</c:v>
                </c:pt>
                <c:pt idx="53">
                  <c:v>0.33491372728459762</c:v>
                </c:pt>
                <c:pt idx="54">
                  <c:v>0.36805716804343258</c:v>
                </c:pt>
                <c:pt idx="55">
                  <c:v>0.40264395964535526</c:v>
                </c:pt>
                <c:pt idx="56">
                  <c:v>0.44172182482589362</c:v>
                </c:pt>
                <c:pt idx="57">
                  <c:v>0.48227672092799784</c:v>
                </c:pt>
                <c:pt idx="58">
                  <c:v>0.52792176892276799</c:v>
                </c:pt>
                <c:pt idx="59">
                  <c:v>0.57936681836149628</c:v>
                </c:pt>
                <c:pt idx="60">
                  <c:v>0.63324056366799675</c:v>
                </c:pt>
                <c:pt idx="61">
                  <c:v>0.69307714251536623</c:v>
                </c:pt>
                <c:pt idx="62">
                  <c:v>0.75683704504700888</c:v>
                </c:pt>
                <c:pt idx="63">
                  <c:v>0.83051273029818495</c:v>
                </c:pt>
                <c:pt idx="64">
                  <c:v>0.90771952579967352</c:v>
                </c:pt>
                <c:pt idx="65">
                  <c:v>0.995062943700603</c:v>
                </c:pt>
                <c:pt idx="66">
                  <c:v>1.0856049418956364</c:v>
                </c:pt>
                <c:pt idx="67">
                  <c:v>1.1901091977284617</c:v>
                </c:pt>
                <c:pt idx="68">
                  <c:v>1.3000741674088925</c:v>
                </c:pt>
                <c:pt idx="69">
                  <c:v>1.4241946091741138</c:v>
                </c:pt>
                <c:pt idx="70">
                  <c:v>1.5588614025759904</c:v>
                </c:pt>
                <c:pt idx="71">
                  <c:v>1.7066410452801122</c:v>
                </c:pt>
                <c:pt idx="72">
                  <c:v>1.8600725619562344</c:v>
                </c:pt>
                <c:pt idx="73">
                  <c:v>2.0335425900431949</c:v>
                </c:pt>
                <c:pt idx="74">
                  <c:v>2.2294944759725994</c:v>
                </c:pt>
                <c:pt idx="75">
                  <c:v>2.4414067185775883</c:v>
                </c:pt>
                <c:pt idx="76">
                  <c:v>2.6712568736699178</c:v>
                </c:pt>
                <c:pt idx="77">
                  <c:v>2.9188719456618997</c:v>
                </c:pt>
                <c:pt idx="78">
                  <c:v>3.2012539409114846</c:v>
                </c:pt>
                <c:pt idx="79">
                  <c:v>3.5051996199218602</c:v>
                </c:pt>
                <c:pt idx="80">
                  <c:v>3.8217116984218715</c:v>
                </c:pt>
                <c:pt idx="81">
                  <c:v>4.1980566796130141</c:v>
                </c:pt>
                <c:pt idx="82">
                  <c:v>4.5806407466741152</c:v>
                </c:pt>
                <c:pt idx="83">
                  <c:v>5.0108280095992486</c:v>
                </c:pt>
                <c:pt idx="84">
                  <c:v>5.4922422934615014</c:v>
                </c:pt>
                <c:pt idx="85">
                  <c:v>5.9997559891492331</c:v>
                </c:pt>
                <c:pt idx="86">
                  <c:v>6.5683717264082695</c:v>
                </c:pt>
                <c:pt idx="87">
                  <c:v>7.190027478363394</c:v>
                </c:pt>
                <c:pt idx="88">
                  <c:v>7.8522524255871673</c:v>
                </c:pt>
                <c:pt idx="89">
                  <c:v>8.5826147124445384</c:v>
                </c:pt>
                <c:pt idx="90">
                  <c:v>9.3976375800045275</c:v>
                </c:pt>
                <c:pt idx="91">
                  <c:v>10.280312102085677</c:v>
                </c:pt>
                <c:pt idx="92">
                  <c:v>11.254416522215671</c:v>
                </c:pt>
                <c:pt idx="93">
                  <c:v>12.297777130942629</c:v>
                </c:pt>
                <c:pt idx="94">
                  <c:v>13.468733230302488</c:v>
                </c:pt>
                <c:pt idx="95">
                  <c:v>14.728941213262198</c:v>
                </c:pt>
                <c:pt idx="96">
                  <c:v>16.104131578556494</c:v>
                </c:pt>
                <c:pt idx="97">
                  <c:v>17.630808990121302</c:v>
                </c:pt>
                <c:pt idx="98">
                  <c:v>19.282262929217634</c:v>
                </c:pt>
                <c:pt idx="99">
                  <c:v>21.067850727183529</c:v>
                </c:pt>
                <c:pt idx="100">
                  <c:v>23.01545235293073</c:v>
                </c:pt>
                <c:pt idx="101">
                  <c:v>25.316935482807821</c:v>
                </c:pt>
                <c:pt idx="102">
                  <c:v>27.623539282080472</c:v>
                </c:pt>
                <c:pt idx="103">
                  <c:v>30.28065290147898</c:v>
                </c:pt>
                <c:pt idx="104">
                  <c:v>33.110161813875941</c:v>
                </c:pt>
                <c:pt idx="105">
                  <c:v>36.113998379985816</c:v>
                </c:pt>
                <c:pt idx="106">
                  <c:v>39.492837481526387</c:v>
                </c:pt>
                <c:pt idx="107">
                  <c:v>43.21349510486737</c:v>
                </c:pt>
                <c:pt idx="108">
                  <c:v>47.28825739664638</c:v>
                </c:pt>
                <c:pt idx="109">
                  <c:v>51.89502609941794</c:v>
                </c:pt>
                <c:pt idx="110">
                  <c:v>56.680807176417012</c:v>
                </c:pt>
                <c:pt idx="111">
                  <c:v>61.991453406548892</c:v>
                </c:pt>
                <c:pt idx="112">
                  <c:v>67.801268025218448</c:v>
                </c:pt>
                <c:pt idx="113">
                  <c:v>74.17088944582197</c:v>
                </c:pt>
                <c:pt idx="114">
                  <c:v>81.080084104423534</c:v>
                </c:pt>
                <c:pt idx="115">
                  <c:v>88.698975861955219</c:v>
                </c:pt>
                <c:pt idx="116">
                  <c:v>97.019565402442353</c:v>
                </c:pt>
                <c:pt idx="117">
                  <c:v>105.34165654463062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8982272"/>
        <c:axId val="49005312"/>
      </c:scatterChart>
      <c:valAx>
        <c:axId val="48982272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Wetting Phase Saturation (1- Hg), fraction pore space</a:t>
                </a:r>
              </a:p>
            </c:rich>
          </c:tx>
          <c:layout>
            <c:manualLayout>
              <c:xMode val="edge"/>
              <c:yMode val="edge"/>
              <c:x val="0.22145365047362159"/>
              <c:y val="0.9297658862876256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49005312"/>
        <c:crossesAt val="0"/>
        <c:crossBetween val="midCat"/>
        <c:majorUnit val="0.2"/>
        <c:minorUnit val="0.1"/>
      </c:valAx>
      <c:valAx>
        <c:axId val="49005312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Leverett J Function.</a:t>
                </a:r>
              </a:p>
            </c:rich>
          </c:tx>
          <c:layout>
            <c:manualLayout>
              <c:xMode val="edge"/>
              <c:yMode val="edge"/>
              <c:x val="5.5363321799309036E-2"/>
              <c:y val="0.3311036789297744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48982272"/>
        <c:crosses val="autoZero"/>
        <c:crossBetween val="midCat"/>
        <c:majorUnit val="0.4"/>
        <c:minorUnit val="0.2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3175">
      <a:solidFill>
        <a:sysClr val="windowText" lastClr="000000"/>
      </a:solidFill>
    </a:ln>
  </c:spPr>
  <c:txPr>
    <a:bodyPr/>
    <a:lstStyle/>
    <a:p>
      <a:pPr>
        <a:defRPr sz="600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921" r="0.75000000000000921" t="1" header="0.5" footer="0.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619718309859155"/>
          <c:y val="5.369136314257017E-2"/>
          <c:w val="0.79577464788732399"/>
          <c:h val="0.81320051436523455"/>
        </c:manualLayout>
      </c:layout>
      <c:scatterChart>
        <c:scatterStyle val="lineMarker"/>
        <c:varyColors val="0"/>
        <c:ser>
          <c:idx val="2"/>
          <c:order val="0"/>
          <c:tx>
            <c:v>Uncorrected</c:v>
          </c:tx>
          <c:spPr>
            <a:ln w="12700">
              <a:solidFill>
                <a:srgbClr val="99CCFF"/>
              </a:solidFill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xVal>
            <c:numRef>
              <c:f>'Raw Data'!$D$18:$D$135</c:f>
              <c:numCache>
                <c:formatCode>0.000</c:formatCode>
                <c:ptCount val="118"/>
                <c:pt idx="0">
                  <c:v>0</c:v>
                </c:pt>
                <c:pt idx="1">
                  <c:v>5.5438149082169172E-4</c:v>
                </c:pt>
                <c:pt idx="2">
                  <c:v>1.7027430844079416E-3</c:v>
                </c:pt>
                <c:pt idx="3">
                  <c:v>2.7719072078093753E-3</c:v>
                </c:pt>
                <c:pt idx="4">
                  <c:v>3.0094994182458183E-3</c:v>
                </c:pt>
                <c:pt idx="5">
                  <c:v>3.009499458529121E-3</c:v>
                </c:pt>
                <c:pt idx="6">
                  <c:v>6.9297683214995173E-3</c:v>
                </c:pt>
                <c:pt idx="7">
                  <c:v>8.236525224904024E-3</c:v>
                </c:pt>
                <c:pt idx="8">
                  <c:v>9.2660907363625918E-3</c:v>
                </c:pt>
                <c:pt idx="9">
                  <c:v>1.0018465348473386E-2</c:v>
                </c:pt>
                <c:pt idx="10">
                  <c:v>1.0889635673263239E-2</c:v>
                </c:pt>
                <c:pt idx="11">
                  <c:v>1.1206425738726813E-2</c:v>
                </c:pt>
                <c:pt idx="12">
                  <c:v>1.1602412689414884E-2</c:v>
                </c:pt>
                <c:pt idx="13">
                  <c:v>1.1919201923619055E-2</c:v>
                </c:pt>
                <c:pt idx="14">
                  <c:v>1.2235991434909693E-2</c:v>
                </c:pt>
                <c:pt idx="15">
                  <c:v>1.2631977800637439E-2</c:v>
                </c:pt>
                <c:pt idx="16">
                  <c:v>1.2869568856546932E-2</c:v>
                </c:pt>
                <c:pt idx="17">
                  <c:v>1.3146759971406401E-2</c:v>
                </c:pt>
                <c:pt idx="18">
                  <c:v>1.3423951178628029E-2</c:v>
                </c:pt>
                <c:pt idx="19">
                  <c:v>1.3661543019615845E-2</c:v>
                </c:pt>
                <c:pt idx="20">
                  <c:v>1.3819938160103485E-2</c:v>
                </c:pt>
                <c:pt idx="21">
                  <c:v>1.4136727517457195E-2</c:v>
                </c:pt>
                <c:pt idx="22">
                  <c:v>1.441391894019052E-2</c:v>
                </c:pt>
                <c:pt idx="23">
                  <c:v>1.4532714260330416E-2</c:v>
                </c:pt>
                <c:pt idx="24">
                  <c:v>1.4770307425175806E-2</c:v>
                </c:pt>
                <c:pt idx="25">
                  <c:v>1.496830106985046E-2</c:v>
                </c:pt>
                <c:pt idx="26">
                  <c:v>1.5205892325877955E-2</c:v>
                </c:pt>
                <c:pt idx="27">
                  <c:v>1.5443485475329654E-2</c:v>
                </c:pt>
                <c:pt idx="28">
                  <c:v>1.5641479089216922E-2</c:v>
                </c:pt>
                <c:pt idx="29">
                  <c:v>1.5997866104104554E-2</c:v>
                </c:pt>
                <c:pt idx="30">
                  <c:v>1.6195859610235976E-2</c:v>
                </c:pt>
                <c:pt idx="31">
                  <c:v>1.651264835184198E-2</c:v>
                </c:pt>
                <c:pt idx="32">
                  <c:v>1.7106628331456993E-2</c:v>
                </c:pt>
                <c:pt idx="33">
                  <c:v>1.7859003867189353E-2</c:v>
                </c:pt>
                <c:pt idx="34">
                  <c:v>1.7859003867189353E-2</c:v>
                </c:pt>
                <c:pt idx="35">
                  <c:v>1.8336378533446478E-2</c:v>
                </c:pt>
                <c:pt idx="36">
                  <c:v>1.8336378533446478E-2</c:v>
                </c:pt>
                <c:pt idx="37">
                  <c:v>1.8336378533446478E-2</c:v>
                </c:pt>
                <c:pt idx="38">
                  <c:v>1.8336378533446478E-2</c:v>
                </c:pt>
                <c:pt idx="39">
                  <c:v>1.8468269386794127E-2</c:v>
                </c:pt>
                <c:pt idx="40">
                  <c:v>1.8666105666815602E-2</c:v>
                </c:pt>
                <c:pt idx="41">
                  <c:v>1.8995832800184725E-2</c:v>
                </c:pt>
                <c:pt idx="42">
                  <c:v>1.9325559933553848E-2</c:v>
                </c:pt>
                <c:pt idx="43">
                  <c:v>2.038068676033504E-2</c:v>
                </c:pt>
                <c:pt idx="44">
                  <c:v>2.1303922733768587E-2</c:v>
                </c:pt>
                <c:pt idx="45">
                  <c:v>2.4139576080743047E-2</c:v>
                </c:pt>
                <c:pt idx="46">
                  <c:v>2.7700629121129576E-2</c:v>
                </c:pt>
                <c:pt idx="47">
                  <c:v>3.4361117215185866E-2</c:v>
                </c:pt>
                <c:pt idx="48">
                  <c:v>4.5835621456431351E-2</c:v>
                </c:pt>
                <c:pt idx="49">
                  <c:v>6.8257066525531734E-2</c:v>
                </c:pt>
                <c:pt idx="50">
                  <c:v>0.1139572472104922</c:v>
                </c:pt>
                <c:pt idx="51">
                  <c:v>0.18603559856498256</c:v>
                </c:pt>
                <c:pt idx="52">
                  <c:v>0.27361112518782166</c:v>
                </c:pt>
                <c:pt idx="53">
                  <c:v>0.36026341583722726</c:v>
                </c:pt>
                <c:pt idx="54">
                  <c:v>0.41961429984366949</c:v>
                </c:pt>
                <c:pt idx="55">
                  <c:v>0.44777299703339257</c:v>
                </c:pt>
                <c:pt idx="56">
                  <c:v>0.47078795094255743</c:v>
                </c:pt>
                <c:pt idx="57">
                  <c:v>0.48991212467796652</c:v>
                </c:pt>
                <c:pt idx="58">
                  <c:v>0.50857468042665888</c:v>
                </c:pt>
                <c:pt idx="59">
                  <c:v>0.52565454593517946</c:v>
                </c:pt>
                <c:pt idx="60">
                  <c:v>0.54214090260363568</c:v>
                </c:pt>
                <c:pt idx="61">
                  <c:v>0.55875915012543942</c:v>
                </c:pt>
                <c:pt idx="62">
                  <c:v>0.57517956136722181</c:v>
                </c:pt>
                <c:pt idx="63">
                  <c:v>0.59120430004896118</c:v>
                </c:pt>
                <c:pt idx="64">
                  <c:v>0.60689931159733146</c:v>
                </c:pt>
                <c:pt idx="65">
                  <c:v>0.62292405027907083</c:v>
                </c:pt>
                <c:pt idx="66">
                  <c:v>0.63776177128068134</c:v>
                </c:pt>
                <c:pt idx="67">
                  <c:v>0.65325894654903016</c:v>
                </c:pt>
                <c:pt idx="68">
                  <c:v>0.66789883127061922</c:v>
                </c:pt>
                <c:pt idx="69">
                  <c:v>0.68267060684555592</c:v>
                </c:pt>
                <c:pt idx="70">
                  <c:v>0.69651914644705903</c:v>
                </c:pt>
                <c:pt idx="71">
                  <c:v>0.71003795891519306</c:v>
                </c:pt>
                <c:pt idx="72">
                  <c:v>0.72289731711658889</c:v>
                </c:pt>
                <c:pt idx="73">
                  <c:v>0.73588856617133236</c:v>
                </c:pt>
                <c:pt idx="74">
                  <c:v>0.7484841426660328</c:v>
                </c:pt>
                <c:pt idx="75">
                  <c:v>0.76074999202736415</c:v>
                </c:pt>
                <c:pt idx="76">
                  <c:v>0.77255422340197877</c:v>
                </c:pt>
                <c:pt idx="77">
                  <c:v>0.78383089136320294</c:v>
                </c:pt>
                <c:pt idx="78">
                  <c:v>0.79530539560444835</c:v>
                </c:pt>
                <c:pt idx="79">
                  <c:v>0.80532910045886974</c:v>
                </c:pt>
                <c:pt idx="80">
                  <c:v>0.81522091445994338</c:v>
                </c:pt>
                <c:pt idx="81">
                  <c:v>0.8257062373010815</c:v>
                </c:pt>
                <c:pt idx="82">
                  <c:v>0.83513643331543841</c:v>
                </c:pt>
                <c:pt idx="83">
                  <c:v>0.84443473847644768</c:v>
                </c:pt>
                <c:pt idx="84">
                  <c:v>0.85406277077082615</c:v>
                </c:pt>
                <c:pt idx="85">
                  <c:v>0.86309729422514003</c:v>
                </c:pt>
                <c:pt idx="86">
                  <c:v>0.87206587225278021</c:v>
                </c:pt>
                <c:pt idx="87">
                  <c:v>0.88024310516033444</c:v>
                </c:pt>
                <c:pt idx="88">
                  <c:v>0.88855222892123653</c:v>
                </c:pt>
                <c:pt idx="89">
                  <c:v>0.89686135268213829</c:v>
                </c:pt>
                <c:pt idx="90">
                  <c:v>0.9045769676029759</c:v>
                </c:pt>
                <c:pt idx="91">
                  <c:v>0.91249041880383486</c:v>
                </c:pt>
                <c:pt idx="92">
                  <c:v>0.91994225201797697</c:v>
                </c:pt>
                <c:pt idx="93">
                  <c:v>0.92693246724540224</c:v>
                </c:pt>
                <c:pt idx="94">
                  <c:v>0.9337907916194802</c:v>
                </c:pt>
                <c:pt idx="95">
                  <c:v>0.94012155258016727</c:v>
                </c:pt>
                <c:pt idx="96">
                  <c:v>0.94632042268750682</c:v>
                </c:pt>
                <c:pt idx="97">
                  <c:v>0.95212362023480335</c:v>
                </c:pt>
                <c:pt idx="98">
                  <c:v>0.95713547266201404</c:v>
                </c:pt>
                <c:pt idx="99">
                  <c:v>0.96227921594257237</c:v>
                </c:pt>
                <c:pt idx="100">
                  <c:v>0.96689539580974004</c:v>
                </c:pt>
                <c:pt idx="101">
                  <c:v>0.97164346653025546</c:v>
                </c:pt>
                <c:pt idx="102">
                  <c:v>0.97533641042398966</c:v>
                </c:pt>
                <c:pt idx="103">
                  <c:v>0.97869962718435466</c:v>
                </c:pt>
                <c:pt idx="104">
                  <c:v>0.98206284394471977</c:v>
                </c:pt>
                <c:pt idx="105">
                  <c:v>0.9852282244250633</c:v>
                </c:pt>
                <c:pt idx="106">
                  <c:v>0.98799793234536393</c:v>
                </c:pt>
                <c:pt idx="107">
                  <c:v>0.99043791313229546</c:v>
                </c:pt>
                <c:pt idx="108">
                  <c:v>0.99274600306587935</c:v>
                </c:pt>
                <c:pt idx="109">
                  <c:v>0.99439463873272493</c:v>
                </c:pt>
                <c:pt idx="110">
                  <c:v>0.99571354726620143</c:v>
                </c:pt>
                <c:pt idx="111">
                  <c:v>0.99709840122635174</c:v>
                </c:pt>
                <c:pt idx="112">
                  <c:v>0.99835136433315441</c:v>
                </c:pt>
                <c:pt idx="113">
                  <c:v>0.99927460030658799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</c:numCache>
            </c:numRef>
          </c:xVal>
          <c:yVal>
            <c:numRef>
              <c:f>Table!$E$18:$E$135</c:f>
              <c:numCache>
                <c:formatCode>???0.000</c:formatCode>
                <c:ptCount val="118"/>
                <c:pt idx="0">
                  <c:v>60.104656176542989</c:v>
                </c:pt>
                <c:pt idx="1">
                  <c:v>57.365758944315388</c:v>
                </c:pt>
                <c:pt idx="2">
                  <c:v>50.350711136270903</c:v>
                </c:pt>
                <c:pt idx="3">
                  <c:v>45.280560930657195</c:v>
                </c:pt>
                <c:pt idx="4">
                  <c:v>42.123993193634711</c:v>
                </c:pt>
                <c:pt idx="5">
                  <c:v>38.582404466966551</c:v>
                </c:pt>
                <c:pt idx="6">
                  <c:v>35.396318395658398</c:v>
                </c:pt>
                <c:pt idx="7">
                  <c:v>32.396875199467857</c:v>
                </c:pt>
                <c:pt idx="8">
                  <c:v>29.697063648317201</c:v>
                </c:pt>
                <c:pt idx="9">
                  <c:v>27.196537866361037</c:v>
                </c:pt>
                <c:pt idx="10">
                  <c:v>24.802789026814047</c:v>
                </c:pt>
                <c:pt idx="11">
                  <c:v>22.658177614329009</c:v>
                </c:pt>
                <c:pt idx="12">
                  <c:v>20.703519790560577</c:v>
                </c:pt>
                <c:pt idx="13">
                  <c:v>18.961369535355804</c:v>
                </c:pt>
                <c:pt idx="14">
                  <c:v>17.369814518078805</c:v>
                </c:pt>
                <c:pt idx="15">
                  <c:v>15.893519003842709</c:v>
                </c:pt>
                <c:pt idx="16">
                  <c:v>14.534051313245987</c:v>
                </c:pt>
                <c:pt idx="17">
                  <c:v>13.284924603021636</c:v>
                </c:pt>
                <c:pt idx="18">
                  <c:v>12.148167363843282</c:v>
                </c:pt>
                <c:pt idx="19">
                  <c:v>11.107003337746461</c:v>
                </c:pt>
                <c:pt idx="20">
                  <c:v>10.150332040228813</c:v>
                </c:pt>
                <c:pt idx="21">
                  <c:v>9.2786064080497574</c:v>
                </c:pt>
                <c:pt idx="22">
                  <c:v>8.4974198623988091</c:v>
                </c:pt>
                <c:pt idx="23">
                  <c:v>7.7115829892910375</c:v>
                </c:pt>
                <c:pt idx="24">
                  <c:v>7.1147225400812015</c:v>
                </c:pt>
                <c:pt idx="25">
                  <c:v>6.4629299311085449</c:v>
                </c:pt>
                <c:pt idx="26">
                  <c:v>5.9241783101626542</c:v>
                </c:pt>
                <c:pt idx="27">
                  <c:v>5.4317224983932801</c:v>
                </c:pt>
                <c:pt idx="28">
                  <c:v>4.9626058029584676</c:v>
                </c:pt>
                <c:pt idx="29">
                  <c:v>4.5246475015936829</c:v>
                </c:pt>
                <c:pt idx="30">
                  <c:v>4.1365055899707999</c:v>
                </c:pt>
                <c:pt idx="31">
                  <c:v>3.7791206120437324</c:v>
                </c:pt>
                <c:pt idx="32">
                  <c:v>3.444462460622729</c:v>
                </c:pt>
                <c:pt idx="33">
                  <c:v>3.1606482343236615</c:v>
                </c:pt>
                <c:pt idx="34">
                  <c:v>2.6909017907173864</c:v>
                </c:pt>
                <c:pt idx="35">
                  <c:v>2.5545685146080994</c:v>
                </c:pt>
                <c:pt idx="36">
                  <c:v>2.2271155403244087</c:v>
                </c:pt>
                <c:pt idx="37">
                  <c:v>2.0725738648518721</c:v>
                </c:pt>
                <c:pt idx="38">
                  <c:v>1.8789544027770544</c:v>
                </c:pt>
                <c:pt idx="39">
                  <c:v>1.717793603914594</c:v>
                </c:pt>
                <c:pt idx="40">
                  <c:v>1.594552314138745</c:v>
                </c:pt>
                <c:pt idx="41">
                  <c:v>1.4270910724041954</c:v>
                </c:pt>
                <c:pt idx="42">
                  <c:v>1.3114330604283893</c:v>
                </c:pt>
                <c:pt idx="43">
                  <c:v>1.1934748633736361</c:v>
                </c:pt>
                <c:pt idx="44">
                  <c:v>1.0905306429497332</c:v>
                </c:pt>
                <c:pt idx="45">
                  <c:v>0.99005417179147548</c:v>
                </c:pt>
                <c:pt idx="46">
                  <c:v>0.91076186700567585</c:v>
                </c:pt>
                <c:pt idx="47">
                  <c:v>0.82934755640053726</c:v>
                </c:pt>
                <c:pt idx="48">
                  <c:v>0.76004161236628853</c:v>
                </c:pt>
                <c:pt idx="49">
                  <c:v>0.69377815389207875</c:v>
                </c:pt>
                <c:pt idx="50">
                  <c:v>0.63608074583386398</c:v>
                </c:pt>
                <c:pt idx="51">
                  <c:v>0.57939274215617564</c:v>
                </c:pt>
                <c:pt idx="52">
                  <c:v>0.5285253634077216</c:v>
                </c:pt>
                <c:pt idx="53">
                  <c:v>0.48479552271042098</c:v>
                </c:pt>
                <c:pt idx="54">
                  <c:v>0.44113982712237804</c:v>
                </c:pt>
                <c:pt idx="55">
                  <c:v>0.40324627153190395</c:v>
                </c:pt>
                <c:pt idx="56">
                  <c:v>0.36757222839471099</c:v>
                </c:pt>
                <c:pt idx="57">
                  <c:v>0.33666289173031094</c:v>
                </c:pt>
                <c:pt idx="58">
                  <c:v>0.30755442385552573</c:v>
                </c:pt>
                <c:pt idx="59">
                  <c:v>0.28024503705789444</c:v>
                </c:pt>
                <c:pt idx="60">
                  <c:v>0.25640283455839774</c:v>
                </c:pt>
                <c:pt idx="61">
                  <c:v>0.23426638323775353</c:v>
                </c:pt>
                <c:pt idx="62">
                  <c:v>0.21453056050096897</c:v>
                </c:pt>
                <c:pt idx="63">
                  <c:v>0.19549932175457074</c:v>
                </c:pt>
                <c:pt idx="64">
                  <c:v>0.17887097376118857</c:v>
                </c:pt>
                <c:pt idx="65">
                  <c:v>0.16317025622319284</c:v>
                </c:pt>
                <c:pt idx="66">
                  <c:v>0.14956147417523516</c:v>
                </c:pt>
                <c:pt idx="67">
                  <c:v>0.13642838471606991</c:v>
                </c:pt>
                <c:pt idx="68">
                  <c:v>0.12488877908052905</c:v>
                </c:pt>
                <c:pt idx="69">
                  <c:v>0.11400455698676371</c:v>
                </c:pt>
                <c:pt idx="70">
                  <c:v>0.10415594049190467</c:v>
                </c:pt>
                <c:pt idx="71">
                  <c:v>9.5136980287019224E-2</c:v>
                </c:pt>
                <c:pt idx="72">
                  <c:v>8.7289430962345538E-2</c:v>
                </c:pt>
                <c:pt idx="73">
                  <c:v>7.984326282459768E-2</c:v>
                </c:pt>
                <c:pt idx="74">
                  <c:v>7.2825780566691756E-2</c:v>
                </c:pt>
                <c:pt idx="75">
                  <c:v>6.6504558313179696E-2</c:v>
                </c:pt>
                <c:pt idx="76">
                  <c:v>6.0782127350697844E-2</c:v>
                </c:pt>
                <c:pt idx="77">
                  <c:v>5.562583028801326E-2</c:v>
                </c:pt>
                <c:pt idx="78">
                  <c:v>5.0719086482593205E-2</c:v>
                </c:pt>
                <c:pt idx="79">
                  <c:v>4.6321092401993197E-2</c:v>
                </c:pt>
                <c:pt idx="80">
                  <c:v>4.2484804792804851E-2</c:v>
                </c:pt>
                <c:pt idx="81">
                  <c:v>3.8676151341720096E-2</c:v>
                </c:pt>
                <c:pt idx="82">
                  <c:v>3.5445843597256714E-2</c:v>
                </c:pt>
                <c:pt idx="83">
                  <c:v>3.2402763609285679E-2</c:v>
                </c:pt>
                <c:pt idx="84">
                  <c:v>2.9562547827710839E-2</c:v>
                </c:pt>
                <c:pt idx="85">
                  <c:v>2.7061879812358046E-2</c:v>
                </c:pt>
                <c:pt idx="86">
                  <c:v>2.4719166673993417E-2</c:v>
                </c:pt>
                <c:pt idx="87">
                  <c:v>2.2581926977390303E-2</c:v>
                </c:pt>
                <c:pt idx="88">
                  <c:v>2.0677465099409455E-2</c:v>
                </c:pt>
                <c:pt idx="89">
                  <c:v>1.8917856728021116E-2</c:v>
                </c:pt>
                <c:pt idx="90">
                  <c:v>1.7277179940126366E-2</c:v>
                </c:pt>
                <c:pt idx="91">
                  <c:v>1.5793749632259824E-2</c:v>
                </c:pt>
                <c:pt idx="92">
                  <c:v>1.4426751947676002E-2</c:v>
                </c:pt>
                <c:pt idx="93">
                  <c:v>1.3202766138386392E-2</c:v>
                </c:pt>
                <c:pt idx="94">
                  <c:v>1.2054932910582671E-2</c:v>
                </c:pt>
                <c:pt idx="95">
                  <c:v>1.1023513036744006E-2</c:v>
                </c:pt>
                <c:pt idx="96">
                  <c:v>1.0082175166652829E-2</c:v>
                </c:pt>
                <c:pt idx="97">
                  <c:v>9.2091449446707902E-3</c:v>
                </c:pt>
                <c:pt idx="98">
                  <c:v>8.4204160101876459E-3</c:v>
                </c:pt>
                <c:pt idx="99">
                  <c:v>7.7067508017006807E-3</c:v>
                </c:pt>
                <c:pt idx="100">
                  <c:v>7.0545941479684543E-3</c:v>
                </c:pt>
                <c:pt idx="101">
                  <c:v>6.4132831397421784E-3</c:v>
                </c:pt>
                <c:pt idx="102">
                  <c:v>5.8777651127116318E-3</c:v>
                </c:pt>
                <c:pt idx="103">
                  <c:v>5.361993878074592E-3</c:v>
                </c:pt>
                <c:pt idx="104">
                  <c:v>4.9037717300972981E-3</c:v>
                </c:pt>
                <c:pt idx="105">
                  <c:v>4.4958930820524576E-3</c:v>
                </c:pt>
                <c:pt idx="106">
                  <c:v>4.111243603546629E-3</c:v>
                </c:pt>
                <c:pt idx="107">
                  <c:v>3.7572678416271832E-3</c:v>
                </c:pt>
                <c:pt idx="108">
                  <c:v>3.4335093830999701E-3</c:v>
                </c:pt>
                <c:pt idx="109">
                  <c:v>3.1287136299109211E-3</c:v>
                </c:pt>
                <c:pt idx="110">
                  <c:v>2.8645441653023323E-3</c:v>
                </c:pt>
                <c:pt idx="111">
                  <c:v>2.6191461332100243E-3</c:v>
                </c:pt>
                <c:pt idx="112">
                  <c:v>2.3947144384001925E-3</c:v>
                </c:pt>
                <c:pt idx="113">
                  <c:v>2.1890619985139989E-3</c:v>
                </c:pt>
                <c:pt idx="114">
                  <c:v>2.0025222873809733E-3</c:v>
                </c:pt>
                <c:pt idx="115">
                  <c:v>1.8305135307821903E-3</c:v>
                </c:pt>
                <c:pt idx="116">
                  <c:v>1.673525075157104E-3</c:v>
                </c:pt>
                <c:pt idx="117">
                  <c:v>1.5413150011841902E-3</c:v>
                </c:pt>
              </c:numCache>
            </c:numRef>
          </c:yVal>
          <c:smooth val="0"/>
        </c:ser>
        <c:ser>
          <c:idx val="0"/>
          <c:order val="1"/>
          <c:tx>
            <c:v>Conformance Corrected</c:v>
          </c:tx>
          <c:spPr>
            <a:ln w="12700">
              <a:solidFill>
                <a:srgbClr val="0000FF"/>
              </a:solidFill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xVal>
            <c:numRef>
              <c:f>Table!$B$18:$B$135</c:f>
              <c:numCache>
                <c:formatCode>0.000</c:formatCode>
                <c:ptCount val="1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1.3435442697836894E-4</c:v>
                </c:pt>
                <c:pt idx="40">
                  <c:v>3.3588606744592236E-4</c:v>
                </c:pt>
                <c:pt idx="41">
                  <c:v>6.7177213489184472E-4</c:v>
                </c:pt>
                <c:pt idx="42">
                  <c:v>1.007658202337767E-3</c:v>
                </c:pt>
                <c:pt idx="43">
                  <c:v>2.0824936181647186E-3</c:v>
                </c:pt>
                <c:pt idx="44">
                  <c:v>3.0229746070133011E-3</c:v>
                </c:pt>
                <c:pt idx="45">
                  <c:v>5.9115947870482339E-3</c:v>
                </c:pt>
                <c:pt idx="46">
                  <c:v>9.5391643154641957E-3</c:v>
                </c:pt>
                <c:pt idx="47">
                  <c:v>1.6324062877871824E-2</c:v>
                </c:pt>
                <c:pt idx="48">
                  <c:v>2.8012898024989925E-2</c:v>
                </c:pt>
                <c:pt idx="49">
                  <c:v>5.0853150611312646E-2</c:v>
                </c:pt>
                <c:pt idx="50">
                  <c:v>9.7406959559317483E-2</c:v>
                </c:pt>
                <c:pt idx="51">
                  <c:v>0.17083165390299612</c:v>
                </c:pt>
                <c:pt idx="52">
                  <c:v>0.26004299341663312</c:v>
                </c:pt>
                <c:pt idx="53">
                  <c:v>0.34831385194142145</c:v>
                </c:pt>
                <c:pt idx="54">
                  <c:v>0.40877334408168753</c:v>
                </c:pt>
                <c:pt idx="55">
                  <c:v>0.43745801424156927</c:v>
                </c:pt>
                <c:pt idx="56">
                  <c:v>0.46090286174929468</c:v>
                </c:pt>
                <c:pt idx="57">
                  <c:v>0.48038425366115811</c:v>
                </c:pt>
                <c:pt idx="58">
                  <c:v>0.49939540507859731</c:v>
                </c:pt>
                <c:pt idx="59">
                  <c:v>0.51679430337229615</c:v>
                </c:pt>
                <c:pt idx="60">
                  <c:v>0.5335886067445923</c:v>
                </c:pt>
                <c:pt idx="61">
                  <c:v>0.55051726454386674</c:v>
                </c:pt>
                <c:pt idx="62">
                  <c:v>0.56724439070267374</c:v>
                </c:pt>
                <c:pt idx="63">
                  <c:v>0.58356845358054554</c:v>
                </c:pt>
                <c:pt idx="64">
                  <c:v>0.5995566303909714</c:v>
                </c:pt>
                <c:pt idx="65">
                  <c:v>0.6158806932688432</c:v>
                </c:pt>
                <c:pt idx="66">
                  <c:v>0.63099556630390974</c:v>
                </c:pt>
                <c:pt idx="67">
                  <c:v>0.64678221147386805</c:v>
                </c:pt>
                <c:pt idx="68">
                  <c:v>0.66169555286846704</c:v>
                </c:pt>
                <c:pt idx="69">
                  <c:v>0.67674324869004443</c:v>
                </c:pt>
                <c:pt idx="70">
                  <c:v>0.69085046352277313</c:v>
                </c:pt>
                <c:pt idx="71">
                  <c:v>0.70462179228805588</c:v>
                </c:pt>
                <c:pt idx="72">
                  <c:v>0.71772134891844686</c:v>
                </c:pt>
                <c:pt idx="73">
                  <c:v>0.73095525997581634</c:v>
                </c:pt>
                <c:pt idx="74">
                  <c:v>0.7437861077522504</c:v>
                </c:pt>
                <c:pt idx="75">
                  <c:v>0.75628106946123874</c:v>
                </c:pt>
                <c:pt idx="76">
                  <c:v>0.76830579067580274</c:v>
                </c:pt>
                <c:pt idx="77">
                  <c:v>0.77979309418245335</c:v>
                </c:pt>
                <c:pt idx="78">
                  <c:v>0.7914819293295714</c:v>
                </c:pt>
                <c:pt idx="79">
                  <c:v>0.80169286577992749</c:v>
                </c:pt>
                <c:pt idx="80">
                  <c:v>0.81176944780330507</c:v>
                </c:pt>
                <c:pt idx="81">
                  <c:v>0.8224506247480855</c:v>
                </c:pt>
                <c:pt idx="82">
                  <c:v>0.83205696627703885</c:v>
                </c:pt>
                <c:pt idx="83">
                  <c:v>0.84152895337901379</c:v>
                </c:pt>
                <c:pt idx="84">
                  <c:v>0.8513368265484349</c:v>
                </c:pt>
                <c:pt idx="85">
                  <c:v>0.86054010479645304</c:v>
                </c:pt>
                <c:pt idx="86">
                  <c:v>0.86967620583098215</c:v>
                </c:pt>
                <c:pt idx="87">
                  <c:v>0.87800618030364097</c:v>
                </c:pt>
                <c:pt idx="88">
                  <c:v>0.88647050920327841</c:v>
                </c:pt>
                <c:pt idx="89">
                  <c:v>0.89493483810291552</c:v>
                </c:pt>
                <c:pt idx="90">
                  <c:v>0.90279457208115022</c:v>
                </c:pt>
                <c:pt idx="91">
                  <c:v>0.91085583769985234</c:v>
                </c:pt>
                <c:pt idx="92">
                  <c:v>0.91844686282413013</c:v>
                </c:pt>
                <c:pt idx="93">
                  <c:v>0.92556764745398357</c:v>
                </c:pt>
                <c:pt idx="94">
                  <c:v>0.93255407765685894</c:v>
                </c:pt>
                <c:pt idx="95">
                  <c:v>0.93900309015182049</c:v>
                </c:pt>
                <c:pt idx="96">
                  <c:v>0.94531774821980386</c:v>
                </c:pt>
                <c:pt idx="97">
                  <c:v>0.95122934300685202</c:v>
                </c:pt>
                <c:pt idx="98">
                  <c:v>0.95633481123203012</c:v>
                </c:pt>
                <c:pt idx="99">
                  <c:v>0.96157463388418651</c:v>
                </c:pt>
                <c:pt idx="100">
                  <c:v>0.96627703882842941</c:v>
                </c:pt>
                <c:pt idx="101">
                  <c:v>0.97111379819965071</c:v>
                </c:pt>
                <c:pt idx="102">
                  <c:v>0.97487572215504514</c:v>
                </c:pt>
                <c:pt idx="103">
                  <c:v>0.97830176004299341</c:v>
                </c:pt>
                <c:pt idx="104">
                  <c:v>0.98172779793094189</c:v>
                </c:pt>
                <c:pt idx="105">
                  <c:v>0.98495230417842272</c:v>
                </c:pt>
                <c:pt idx="106">
                  <c:v>0.98777374714496846</c:v>
                </c:pt>
                <c:pt idx="107">
                  <c:v>0.99025930404406826</c:v>
                </c:pt>
                <c:pt idx="108">
                  <c:v>0.99261050651618976</c:v>
                </c:pt>
                <c:pt idx="109">
                  <c:v>0.99428993685341938</c:v>
                </c:pt>
                <c:pt idx="110">
                  <c:v>0.99563348112320305</c:v>
                </c:pt>
                <c:pt idx="111">
                  <c:v>0.99704420260647586</c:v>
                </c:pt>
                <c:pt idx="112">
                  <c:v>0.99832056966277039</c:v>
                </c:pt>
                <c:pt idx="113">
                  <c:v>0.99926105065161908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</c:numCache>
            </c:numRef>
          </c:xVal>
          <c:yVal>
            <c:numRef>
              <c:f>Table!$E$18:$E$135</c:f>
              <c:numCache>
                <c:formatCode>???0.000</c:formatCode>
                <c:ptCount val="118"/>
                <c:pt idx="0">
                  <c:v>60.104656176542989</c:v>
                </c:pt>
                <c:pt idx="1">
                  <c:v>57.365758944315388</c:v>
                </c:pt>
                <c:pt idx="2">
                  <c:v>50.350711136270903</c:v>
                </c:pt>
                <c:pt idx="3">
                  <c:v>45.280560930657195</c:v>
                </c:pt>
                <c:pt idx="4">
                  <c:v>42.123993193634711</c:v>
                </c:pt>
                <c:pt idx="5">
                  <c:v>38.582404466966551</c:v>
                </c:pt>
                <c:pt idx="6">
                  <c:v>35.396318395658398</c:v>
                </c:pt>
                <c:pt idx="7">
                  <c:v>32.396875199467857</c:v>
                </c:pt>
                <c:pt idx="8">
                  <c:v>29.697063648317201</c:v>
                </c:pt>
                <c:pt idx="9">
                  <c:v>27.196537866361037</c:v>
                </c:pt>
                <c:pt idx="10">
                  <c:v>24.802789026814047</c:v>
                </c:pt>
                <c:pt idx="11">
                  <c:v>22.658177614329009</c:v>
                </c:pt>
                <c:pt idx="12">
                  <c:v>20.703519790560577</c:v>
                </c:pt>
                <c:pt idx="13">
                  <c:v>18.961369535355804</c:v>
                </c:pt>
                <c:pt idx="14">
                  <c:v>17.369814518078805</c:v>
                </c:pt>
                <c:pt idx="15">
                  <c:v>15.893519003842709</c:v>
                </c:pt>
                <c:pt idx="16">
                  <c:v>14.534051313245987</c:v>
                </c:pt>
                <c:pt idx="17">
                  <c:v>13.284924603021636</c:v>
                </c:pt>
                <c:pt idx="18">
                  <c:v>12.148167363843282</c:v>
                </c:pt>
                <c:pt idx="19">
                  <c:v>11.107003337746461</c:v>
                </c:pt>
                <c:pt idx="20">
                  <c:v>10.150332040228813</c:v>
                </c:pt>
                <c:pt idx="21">
                  <c:v>9.2786064080497574</c:v>
                </c:pt>
                <c:pt idx="22">
                  <c:v>8.4974198623988091</c:v>
                </c:pt>
                <c:pt idx="23">
                  <c:v>7.7115829892910375</c:v>
                </c:pt>
                <c:pt idx="24">
                  <c:v>7.1147225400812015</c:v>
                </c:pt>
                <c:pt idx="25">
                  <c:v>6.4629299311085449</c:v>
                </c:pt>
                <c:pt idx="26">
                  <c:v>5.9241783101626542</c:v>
                </c:pt>
                <c:pt idx="27">
                  <c:v>5.4317224983932801</c:v>
                </c:pt>
                <c:pt idx="28">
                  <c:v>4.9626058029584676</c:v>
                </c:pt>
                <c:pt idx="29">
                  <c:v>4.5246475015936829</c:v>
                </c:pt>
                <c:pt idx="30">
                  <c:v>4.1365055899707999</c:v>
                </c:pt>
                <c:pt idx="31">
                  <c:v>3.7791206120437324</c:v>
                </c:pt>
                <c:pt idx="32">
                  <c:v>3.444462460622729</c:v>
                </c:pt>
                <c:pt idx="33">
                  <c:v>3.1606482343236615</c:v>
                </c:pt>
                <c:pt idx="34">
                  <c:v>2.6909017907173864</c:v>
                </c:pt>
                <c:pt idx="35">
                  <c:v>2.5545685146080994</c:v>
                </c:pt>
                <c:pt idx="36">
                  <c:v>2.2271155403244087</c:v>
                </c:pt>
                <c:pt idx="37">
                  <c:v>2.0725738648518721</c:v>
                </c:pt>
                <c:pt idx="38">
                  <c:v>1.8789544027770544</c:v>
                </c:pt>
                <c:pt idx="39">
                  <c:v>1.717793603914594</c:v>
                </c:pt>
                <c:pt idx="40">
                  <c:v>1.594552314138745</c:v>
                </c:pt>
                <c:pt idx="41">
                  <c:v>1.4270910724041954</c:v>
                </c:pt>
                <c:pt idx="42">
                  <c:v>1.3114330604283893</c:v>
                </c:pt>
                <c:pt idx="43">
                  <c:v>1.1934748633736361</c:v>
                </c:pt>
                <c:pt idx="44">
                  <c:v>1.0905306429497332</c:v>
                </c:pt>
                <c:pt idx="45">
                  <c:v>0.99005417179147548</c:v>
                </c:pt>
                <c:pt idx="46">
                  <c:v>0.91076186700567585</c:v>
                </c:pt>
                <c:pt idx="47">
                  <c:v>0.82934755640053726</c:v>
                </c:pt>
                <c:pt idx="48">
                  <c:v>0.76004161236628853</c:v>
                </c:pt>
                <c:pt idx="49">
                  <c:v>0.69377815389207875</c:v>
                </c:pt>
                <c:pt idx="50">
                  <c:v>0.63608074583386398</c:v>
                </c:pt>
                <c:pt idx="51">
                  <c:v>0.57939274215617564</c:v>
                </c:pt>
                <c:pt idx="52">
                  <c:v>0.5285253634077216</c:v>
                </c:pt>
                <c:pt idx="53">
                  <c:v>0.48479552271042098</c:v>
                </c:pt>
                <c:pt idx="54">
                  <c:v>0.44113982712237804</c:v>
                </c:pt>
                <c:pt idx="55">
                  <c:v>0.40324627153190395</c:v>
                </c:pt>
                <c:pt idx="56">
                  <c:v>0.36757222839471099</c:v>
                </c:pt>
                <c:pt idx="57">
                  <c:v>0.33666289173031094</c:v>
                </c:pt>
                <c:pt idx="58">
                  <c:v>0.30755442385552573</c:v>
                </c:pt>
                <c:pt idx="59">
                  <c:v>0.28024503705789444</c:v>
                </c:pt>
                <c:pt idx="60">
                  <c:v>0.25640283455839774</c:v>
                </c:pt>
                <c:pt idx="61">
                  <c:v>0.23426638323775353</c:v>
                </c:pt>
                <c:pt idx="62">
                  <c:v>0.21453056050096897</c:v>
                </c:pt>
                <c:pt idx="63">
                  <c:v>0.19549932175457074</c:v>
                </c:pt>
                <c:pt idx="64">
                  <c:v>0.17887097376118857</c:v>
                </c:pt>
                <c:pt idx="65">
                  <c:v>0.16317025622319284</c:v>
                </c:pt>
                <c:pt idx="66">
                  <c:v>0.14956147417523516</c:v>
                </c:pt>
                <c:pt idx="67">
                  <c:v>0.13642838471606991</c:v>
                </c:pt>
                <c:pt idx="68">
                  <c:v>0.12488877908052905</c:v>
                </c:pt>
                <c:pt idx="69">
                  <c:v>0.11400455698676371</c:v>
                </c:pt>
                <c:pt idx="70">
                  <c:v>0.10415594049190467</c:v>
                </c:pt>
                <c:pt idx="71">
                  <c:v>9.5136980287019224E-2</c:v>
                </c:pt>
                <c:pt idx="72">
                  <c:v>8.7289430962345538E-2</c:v>
                </c:pt>
                <c:pt idx="73">
                  <c:v>7.984326282459768E-2</c:v>
                </c:pt>
                <c:pt idx="74">
                  <c:v>7.2825780566691756E-2</c:v>
                </c:pt>
                <c:pt idx="75">
                  <c:v>6.6504558313179696E-2</c:v>
                </c:pt>
                <c:pt idx="76">
                  <c:v>6.0782127350697844E-2</c:v>
                </c:pt>
                <c:pt idx="77">
                  <c:v>5.562583028801326E-2</c:v>
                </c:pt>
                <c:pt idx="78">
                  <c:v>5.0719086482593205E-2</c:v>
                </c:pt>
                <c:pt idx="79">
                  <c:v>4.6321092401993197E-2</c:v>
                </c:pt>
                <c:pt idx="80">
                  <c:v>4.2484804792804851E-2</c:v>
                </c:pt>
                <c:pt idx="81">
                  <c:v>3.8676151341720096E-2</c:v>
                </c:pt>
                <c:pt idx="82">
                  <c:v>3.5445843597256714E-2</c:v>
                </c:pt>
                <c:pt idx="83">
                  <c:v>3.2402763609285679E-2</c:v>
                </c:pt>
                <c:pt idx="84">
                  <c:v>2.9562547827710839E-2</c:v>
                </c:pt>
                <c:pt idx="85">
                  <c:v>2.7061879812358046E-2</c:v>
                </c:pt>
                <c:pt idx="86">
                  <c:v>2.4719166673993417E-2</c:v>
                </c:pt>
                <c:pt idx="87">
                  <c:v>2.2581926977390303E-2</c:v>
                </c:pt>
                <c:pt idx="88">
                  <c:v>2.0677465099409455E-2</c:v>
                </c:pt>
                <c:pt idx="89">
                  <c:v>1.8917856728021116E-2</c:v>
                </c:pt>
                <c:pt idx="90">
                  <c:v>1.7277179940126366E-2</c:v>
                </c:pt>
                <c:pt idx="91">
                  <c:v>1.5793749632259824E-2</c:v>
                </c:pt>
                <c:pt idx="92">
                  <c:v>1.4426751947676002E-2</c:v>
                </c:pt>
                <c:pt idx="93">
                  <c:v>1.3202766138386392E-2</c:v>
                </c:pt>
                <c:pt idx="94">
                  <c:v>1.2054932910582671E-2</c:v>
                </c:pt>
                <c:pt idx="95">
                  <c:v>1.1023513036744006E-2</c:v>
                </c:pt>
                <c:pt idx="96">
                  <c:v>1.0082175166652829E-2</c:v>
                </c:pt>
                <c:pt idx="97">
                  <c:v>9.2091449446707902E-3</c:v>
                </c:pt>
                <c:pt idx="98">
                  <c:v>8.4204160101876459E-3</c:v>
                </c:pt>
                <c:pt idx="99">
                  <c:v>7.7067508017006807E-3</c:v>
                </c:pt>
                <c:pt idx="100">
                  <c:v>7.0545941479684543E-3</c:v>
                </c:pt>
                <c:pt idx="101">
                  <c:v>6.4132831397421784E-3</c:v>
                </c:pt>
                <c:pt idx="102">
                  <c:v>5.8777651127116318E-3</c:v>
                </c:pt>
                <c:pt idx="103">
                  <c:v>5.361993878074592E-3</c:v>
                </c:pt>
                <c:pt idx="104">
                  <c:v>4.9037717300972981E-3</c:v>
                </c:pt>
                <c:pt idx="105">
                  <c:v>4.4958930820524576E-3</c:v>
                </c:pt>
                <c:pt idx="106">
                  <c:v>4.111243603546629E-3</c:v>
                </c:pt>
                <c:pt idx="107">
                  <c:v>3.7572678416271832E-3</c:v>
                </c:pt>
                <c:pt idx="108">
                  <c:v>3.4335093830999701E-3</c:v>
                </c:pt>
                <c:pt idx="109">
                  <c:v>3.1287136299109211E-3</c:v>
                </c:pt>
                <c:pt idx="110">
                  <c:v>2.8645441653023323E-3</c:v>
                </c:pt>
                <c:pt idx="111">
                  <c:v>2.6191461332100243E-3</c:v>
                </c:pt>
                <c:pt idx="112">
                  <c:v>2.3947144384001925E-3</c:v>
                </c:pt>
                <c:pt idx="113">
                  <c:v>2.1890619985139989E-3</c:v>
                </c:pt>
                <c:pt idx="114">
                  <c:v>2.0025222873809733E-3</c:v>
                </c:pt>
                <c:pt idx="115">
                  <c:v>1.8305135307821903E-3</c:v>
                </c:pt>
                <c:pt idx="116">
                  <c:v>1.673525075157104E-3</c:v>
                </c:pt>
                <c:pt idx="117">
                  <c:v>1.5413150011841902E-3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13504"/>
        <c:axId val="49015808"/>
      </c:scatterChart>
      <c:valAx>
        <c:axId val="49013504"/>
        <c:scaling>
          <c:orientation val="maxMin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Mercury Saturation, fraction pore space</a:t>
                </a:r>
              </a:p>
            </c:rich>
          </c:tx>
          <c:layout>
            <c:manualLayout>
              <c:xMode val="edge"/>
              <c:yMode val="edge"/>
              <c:x val="0.284037558685446"/>
              <c:y val="0.9407172928887246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49015808"/>
        <c:crossesAt val="1.0000000000000041E-3"/>
        <c:crossBetween val="midCat"/>
        <c:majorUnit val="0.2"/>
        <c:minorUnit val="0.1"/>
      </c:valAx>
      <c:valAx>
        <c:axId val="49015808"/>
        <c:scaling>
          <c:logBase val="10"/>
          <c:orientation val="minMax"/>
          <c:max val="1000"/>
          <c:min val="1.0000000000000041E-3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Pore Throat Radius, microns.</a:t>
                </a:r>
              </a:p>
            </c:rich>
          </c:tx>
          <c:layout>
            <c:manualLayout>
              <c:xMode val="edge"/>
              <c:yMode val="edge"/>
              <c:x val="1.7605633802816906E-2"/>
              <c:y val="0.288590956331800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49013504"/>
        <c:crosses val="max"/>
        <c:crossBetween val="midCat"/>
        <c:majorUnit val="10"/>
        <c:minorUnit val="10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16901411284906759"/>
          <c:y val="6.0402679443359433E-2"/>
          <c:w val="0.4260563032526869"/>
          <c:h val="9.395972963363406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</a:ln>
      </c:spPr>
      <c:txPr>
        <a:bodyPr/>
        <a:lstStyle/>
        <a:p>
          <a:pPr>
            <a:defRPr sz="505"/>
          </a:pPr>
          <a:endParaRPr lang="en-US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3175">
      <a:solidFill>
        <a:sysClr val="windowText" lastClr="000000"/>
      </a:solidFill>
    </a:ln>
  </c:spPr>
  <c:txPr>
    <a:bodyPr/>
    <a:lstStyle/>
    <a:p>
      <a:pPr>
        <a:defRPr sz="600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921" r="0.75000000000000921" t="1" header="0.5" footer="0.5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0">
                <a:latin typeface="Arial"/>
              </a:rPr>
              <a:t>Normalized  Data V.S. Pore Size Distrubition</a:t>
            </a:r>
          </a:p>
        </c:rich>
      </c:tx>
      <c:layout>
        <c:manualLayout>
          <c:xMode val="edge"/>
          <c:yMode val="edge"/>
          <c:x val="0.34320591413962531"/>
          <c:y val="5.31265197201520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30384661626489"/>
          <c:y val="0.16126507112319541"/>
          <c:w val="0.81528794194843257"/>
          <c:h val="0.67664041994752278"/>
        </c:manualLayout>
      </c:layout>
      <c:scatterChart>
        <c:scatterStyle val="lineMarker"/>
        <c:varyColors val="0"/>
        <c:ser>
          <c:idx val="0"/>
          <c:order val="0"/>
          <c:tx>
            <c:v>Normalized Pore Size Distribution</c:v>
          </c:tx>
          <c:spPr>
            <a:ln w="15875">
              <a:solidFill>
                <a:schemeClr val="dk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dk2">
                  <a:lumMod val="75000"/>
                </a:schemeClr>
              </a:solidFill>
              <a:ln>
                <a:solidFill>
                  <a:schemeClr val="dk2">
                    <a:lumMod val="75000"/>
                  </a:schemeClr>
                </a:solidFill>
              </a:ln>
            </c:spPr>
          </c:marker>
          <c:xVal>
            <c:numRef>
              <c:f>Table!$E$18:$E$135</c:f>
              <c:numCache>
                <c:formatCode>???0.000</c:formatCode>
                <c:ptCount val="118"/>
                <c:pt idx="0">
                  <c:v>60.104656176542989</c:v>
                </c:pt>
                <c:pt idx="1">
                  <c:v>57.365758944315388</c:v>
                </c:pt>
                <c:pt idx="2">
                  <c:v>50.350711136270903</c:v>
                </c:pt>
                <c:pt idx="3">
                  <c:v>45.280560930657195</c:v>
                </c:pt>
                <c:pt idx="4">
                  <c:v>42.123993193634711</c:v>
                </c:pt>
                <c:pt idx="5">
                  <c:v>38.582404466966551</c:v>
                </c:pt>
                <c:pt idx="6">
                  <c:v>35.396318395658398</c:v>
                </c:pt>
                <c:pt idx="7">
                  <c:v>32.396875199467857</c:v>
                </c:pt>
                <c:pt idx="8">
                  <c:v>29.697063648317201</c:v>
                </c:pt>
                <c:pt idx="9">
                  <c:v>27.196537866361037</c:v>
                </c:pt>
                <c:pt idx="10">
                  <c:v>24.802789026814047</c:v>
                </c:pt>
                <c:pt idx="11">
                  <c:v>22.658177614329009</c:v>
                </c:pt>
                <c:pt idx="12">
                  <c:v>20.703519790560577</c:v>
                </c:pt>
                <c:pt idx="13">
                  <c:v>18.961369535355804</c:v>
                </c:pt>
                <c:pt idx="14">
                  <c:v>17.369814518078805</c:v>
                </c:pt>
                <c:pt idx="15">
                  <c:v>15.893519003842709</c:v>
                </c:pt>
                <c:pt idx="16">
                  <c:v>14.534051313245987</c:v>
                </c:pt>
                <c:pt idx="17">
                  <c:v>13.284924603021636</c:v>
                </c:pt>
                <c:pt idx="18">
                  <c:v>12.148167363843282</c:v>
                </c:pt>
                <c:pt idx="19">
                  <c:v>11.107003337746461</c:v>
                </c:pt>
                <c:pt idx="20">
                  <c:v>10.150332040228813</c:v>
                </c:pt>
                <c:pt idx="21">
                  <c:v>9.2786064080497574</c:v>
                </c:pt>
                <c:pt idx="22">
                  <c:v>8.4974198623988091</c:v>
                </c:pt>
                <c:pt idx="23">
                  <c:v>7.7115829892910375</c:v>
                </c:pt>
                <c:pt idx="24">
                  <c:v>7.1147225400812015</c:v>
                </c:pt>
                <c:pt idx="25">
                  <c:v>6.4629299311085449</c:v>
                </c:pt>
                <c:pt idx="26">
                  <c:v>5.9241783101626542</c:v>
                </c:pt>
                <c:pt idx="27">
                  <c:v>5.4317224983932801</c:v>
                </c:pt>
                <c:pt idx="28">
                  <c:v>4.9626058029584676</c:v>
                </c:pt>
                <c:pt idx="29">
                  <c:v>4.5246475015936829</c:v>
                </c:pt>
                <c:pt idx="30">
                  <c:v>4.1365055899707999</c:v>
                </c:pt>
                <c:pt idx="31">
                  <c:v>3.7791206120437324</c:v>
                </c:pt>
                <c:pt idx="32">
                  <c:v>3.444462460622729</c:v>
                </c:pt>
                <c:pt idx="33">
                  <c:v>3.1606482343236615</c:v>
                </c:pt>
                <c:pt idx="34">
                  <c:v>2.6909017907173864</c:v>
                </c:pt>
                <c:pt idx="35">
                  <c:v>2.5545685146080994</c:v>
                </c:pt>
                <c:pt idx="36">
                  <c:v>2.2271155403244087</c:v>
                </c:pt>
                <c:pt idx="37">
                  <c:v>2.0725738648518721</c:v>
                </c:pt>
                <c:pt idx="38">
                  <c:v>1.8789544027770544</c:v>
                </c:pt>
                <c:pt idx="39">
                  <c:v>1.717793603914594</c:v>
                </c:pt>
                <c:pt idx="40">
                  <c:v>1.594552314138745</c:v>
                </c:pt>
                <c:pt idx="41">
                  <c:v>1.4270910724041954</c:v>
                </c:pt>
                <c:pt idx="42">
                  <c:v>1.3114330604283893</c:v>
                </c:pt>
                <c:pt idx="43">
                  <c:v>1.1934748633736361</c:v>
                </c:pt>
                <c:pt idx="44">
                  <c:v>1.0905306429497332</c:v>
                </c:pt>
                <c:pt idx="45">
                  <c:v>0.99005417179147548</c:v>
                </c:pt>
                <c:pt idx="46">
                  <c:v>0.91076186700567585</c:v>
                </c:pt>
                <c:pt idx="47">
                  <c:v>0.82934755640053726</c:v>
                </c:pt>
                <c:pt idx="48">
                  <c:v>0.76004161236628853</c:v>
                </c:pt>
                <c:pt idx="49">
                  <c:v>0.69377815389207875</c:v>
                </c:pt>
                <c:pt idx="50">
                  <c:v>0.63608074583386398</c:v>
                </c:pt>
                <c:pt idx="51">
                  <c:v>0.57939274215617564</c:v>
                </c:pt>
                <c:pt idx="52">
                  <c:v>0.5285253634077216</c:v>
                </c:pt>
                <c:pt idx="53">
                  <c:v>0.48479552271042098</c:v>
                </c:pt>
                <c:pt idx="54">
                  <c:v>0.44113982712237804</c:v>
                </c:pt>
                <c:pt idx="55">
                  <c:v>0.40324627153190395</c:v>
                </c:pt>
                <c:pt idx="56">
                  <c:v>0.36757222839471099</c:v>
                </c:pt>
                <c:pt idx="57">
                  <c:v>0.33666289173031094</c:v>
                </c:pt>
                <c:pt idx="58">
                  <c:v>0.30755442385552573</c:v>
                </c:pt>
                <c:pt idx="59">
                  <c:v>0.28024503705789444</c:v>
                </c:pt>
                <c:pt idx="60">
                  <c:v>0.25640283455839774</c:v>
                </c:pt>
                <c:pt idx="61">
                  <c:v>0.23426638323775353</c:v>
                </c:pt>
                <c:pt idx="62">
                  <c:v>0.21453056050096897</c:v>
                </c:pt>
                <c:pt idx="63">
                  <c:v>0.19549932175457074</c:v>
                </c:pt>
                <c:pt idx="64">
                  <c:v>0.17887097376118857</c:v>
                </c:pt>
                <c:pt idx="65">
                  <c:v>0.16317025622319284</c:v>
                </c:pt>
                <c:pt idx="66">
                  <c:v>0.14956147417523516</c:v>
                </c:pt>
                <c:pt idx="67">
                  <c:v>0.13642838471606991</c:v>
                </c:pt>
                <c:pt idx="68">
                  <c:v>0.12488877908052905</c:v>
                </c:pt>
                <c:pt idx="69">
                  <c:v>0.11400455698676371</c:v>
                </c:pt>
                <c:pt idx="70">
                  <c:v>0.10415594049190467</c:v>
                </c:pt>
                <c:pt idx="71">
                  <c:v>9.5136980287019224E-2</c:v>
                </c:pt>
                <c:pt idx="72">
                  <c:v>8.7289430962345538E-2</c:v>
                </c:pt>
                <c:pt idx="73">
                  <c:v>7.984326282459768E-2</c:v>
                </c:pt>
                <c:pt idx="74">
                  <c:v>7.2825780566691756E-2</c:v>
                </c:pt>
                <c:pt idx="75">
                  <c:v>6.6504558313179696E-2</c:v>
                </c:pt>
                <c:pt idx="76">
                  <c:v>6.0782127350697844E-2</c:v>
                </c:pt>
                <c:pt idx="77">
                  <c:v>5.562583028801326E-2</c:v>
                </c:pt>
                <c:pt idx="78">
                  <c:v>5.0719086482593205E-2</c:v>
                </c:pt>
                <c:pt idx="79">
                  <c:v>4.6321092401993197E-2</c:v>
                </c:pt>
                <c:pt idx="80">
                  <c:v>4.2484804792804851E-2</c:v>
                </c:pt>
                <c:pt idx="81">
                  <c:v>3.8676151341720096E-2</c:v>
                </c:pt>
                <c:pt idx="82">
                  <c:v>3.5445843597256714E-2</c:v>
                </c:pt>
                <c:pt idx="83">
                  <c:v>3.2402763609285679E-2</c:v>
                </c:pt>
                <c:pt idx="84">
                  <c:v>2.9562547827710839E-2</c:v>
                </c:pt>
                <c:pt idx="85">
                  <c:v>2.7061879812358046E-2</c:v>
                </c:pt>
                <c:pt idx="86">
                  <c:v>2.4719166673993417E-2</c:v>
                </c:pt>
                <c:pt idx="87">
                  <c:v>2.2581926977390303E-2</c:v>
                </c:pt>
                <c:pt idx="88">
                  <c:v>2.0677465099409455E-2</c:v>
                </c:pt>
                <c:pt idx="89">
                  <c:v>1.8917856728021116E-2</c:v>
                </c:pt>
                <c:pt idx="90">
                  <c:v>1.7277179940126366E-2</c:v>
                </c:pt>
                <c:pt idx="91">
                  <c:v>1.5793749632259824E-2</c:v>
                </c:pt>
                <c:pt idx="92">
                  <c:v>1.4426751947676002E-2</c:v>
                </c:pt>
                <c:pt idx="93">
                  <c:v>1.3202766138386392E-2</c:v>
                </c:pt>
                <c:pt idx="94">
                  <c:v>1.2054932910582671E-2</c:v>
                </c:pt>
                <c:pt idx="95">
                  <c:v>1.1023513036744006E-2</c:v>
                </c:pt>
                <c:pt idx="96">
                  <c:v>1.0082175166652829E-2</c:v>
                </c:pt>
                <c:pt idx="97">
                  <c:v>9.2091449446707902E-3</c:v>
                </c:pt>
                <c:pt idx="98">
                  <c:v>8.4204160101876459E-3</c:v>
                </c:pt>
                <c:pt idx="99">
                  <c:v>7.7067508017006807E-3</c:v>
                </c:pt>
                <c:pt idx="100">
                  <c:v>7.0545941479684543E-3</c:v>
                </c:pt>
                <c:pt idx="101">
                  <c:v>6.4132831397421784E-3</c:v>
                </c:pt>
                <c:pt idx="102">
                  <c:v>5.8777651127116318E-3</c:v>
                </c:pt>
                <c:pt idx="103">
                  <c:v>5.361993878074592E-3</c:v>
                </c:pt>
                <c:pt idx="104">
                  <c:v>4.9037717300972981E-3</c:v>
                </c:pt>
                <c:pt idx="105">
                  <c:v>4.4958930820524576E-3</c:v>
                </c:pt>
                <c:pt idx="106">
                  <c:v>4.111243603546629E-3</c:v>
                </c:pt>
                <c:pt idx="107">
                  <c:v>3.7572678416271832E-3</c:v>
                </c:pt>
                <c:pt idx="108">
                  <c:v>3.4335093830999701E-3</c:v>
                </c:pt>
                <c:pt idx="109">
                  <c:v>3.1287136299109211E-3</c:v>
                </c:pt>
                <c:pt idx="110">
                  <c:v>2.8645441653023323E-3</c:v>
                </c:pt>
                <c:pt idx="111">
                  <c:v>2.6191461332100243E-3</c:v>
                </c:pt>
                <c:pt idx="112">
                  <c:v>2.3947144384001925E-3</c:v>
                </c:pt>
                <c:pt idx="113">
                  <c:v>2.1890619985139989E-3</c:v>
                </c:pt>
                <c:pt idx="114">
                  <c:v>2.0025222873809733E-3</c:v>
                </c:pt>
                <c:pt idx="115">
                  <c:v>1.8305135307821903E-3</c:v>
                </c:pt>
                <c:pt idx="116">
                  <c:v>1.673525075157104E-3</c:v>
                </c:pt>
                <c:pt idx="117">
                  <c:v>1.5413150011841902E-3</c:v>
                </c:pt>
              </c:numCache>
            </c:numRef>
          </c:xVal>
          <c:yVal>
            <c:numRef>
              <c:f>Table!$S$18:$S$135</c:f>
              <c:numCache>
                <c:formatCode>????0.000</c:formatCode>
                <c:ptCount val="1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1.5060240963855418E-3</c:v>
                </c:pt>
                <c:pt idx="40">
                  <c:v>2.2590361445783127E-3</c:v>
                </c:pt>
                <c:pt idx="41">
                  <c:v>3.7650602409638545E-3</c:v>
                </c:pt>
                <c:pt idx="42">
                  <c:v>3.7650602409638541E-3</c:v>
                </c:pt>
                <c:pt idx="43">
                  <c:v>1.2048192771084335E-2</c:v>
                </c:pt>
                <c:pt idx="44">
                  <c:v>1.0542168674698793E-2</c:v>
                </c:pt>
                <c:pt idx="45">
                  <c:v>3.2379518072289157E-2</c:v>
                </c:pt>
                <c:pt idx="46">
                  <c:v>4.0662650602409638E-2</c:v>
                </c:pt>
                <c:pt idx="47">
                  <c:v>7.6054216867469826E-2</c:v>
                </c:pt>
                <c:pt idx="48">
                  <c:v>0.13102409638554216</c:v>
                </c:pt>
                <c:pt idx="49">
                  <c:v>0.25602409638554213</c:v>
                </c:pt>
                <c:pt idx="50">
                  <c:v>0.52183734939759019</c:v>
                </c:pt>
                <c:pt idx="51">
                  <c:v>0.82304216867469882</c:v>
                </c:pt>
                <c:pt idx="52">
                  <c:v>1</c:v>
                </c:pt>
                <c:pt idx="53">
                  <c:v>0.9894578313253003</c:v>
                </c:pt>
                <c:pt idx="54">
                  <c:v>0.67771084337349452</c:v>
                </c:pt>
                <c:pt idx="55">
                  <c:v>0.32153614457831287</c:v>
                </c:pt>
                <c:pt idx="56">
                  <c:v>0.26280120481927738</c:v>
                </c:pt>
                <c:pt idx="57">
                  <c:v>0.21837349397590286</c:v>
                </c:pt>
                <c:pt idx="58">
                  <c:v>0.21310240963855409</c:v>
                </c:pt>
                <c:pt idx="59">
                  <c:v>0.19503012048192836</c:v>
                </c:pt>
                <c:pt idx="60">
                  <c:v>0.18825301204819309</c:v>
                </c:pt>
                <c:pt idx="61">
                  <c:v>0.18975903614457773</c:v>
                </c:pt>
                <c:pt idx="62">
                  <c:v>0.18750000000000075</c:v>
                </c:pt>
                <c:pt idx="63">
                  <c:v>0.18298192771084307</c:v>
                </c:pt>
                <c:pt idx="64">
                  <c:v>0.17921686746987897</c:v>
                </c:pt>
                <c:pt idx="65">
                  <c:v>0.18298192771084307</c:v>
                </c:pt>
                <c:pt idx="66">
                  <c:v>0.16942771084337377</c:v>
                </c:pt>
                <c:pt idx="67">
                  <c:v>0.17695783132530074</c:v>
                </c:pt>
                <c:pt idx="68">
                  <c:v>0.16716867469879557</c:v>
                </c:pt>
                <c:pt idx="69">
                  <c:v>0.16867469879518146</c:v>
                </c:pt>
                <c:pt idx="70">
                  <c:v>0.15813253012048145</c:v>
                </c:pt>
                <c:pt idx="71">
                  <c:v>0.15436746987951733</c:v>
                </c:pt>
                <c:pt idx="72">
                  <c:v>0.14683734939759036</c:v>
                </c:pt>
                <c:pt idx="73">
                  <c:v>0.1483433734939775</c:v>
                </c:pt>
                <c:pt idx="74">
                  <c:v>0.14382530120481732</c:v>
                </c:pt>
                <c:pt idx="75">
                  <c:v>0.14006024096385569</c:v>
                </c:pt>
                <c:pt idx="76">
                  <c:v>0.1347891566265057</c:v>
                </c:pt>
                <c:pt idx="77">
                  <c:v>0.12876506024096462</c:v>
                </c:pt>
                <c:pt idx="78">
                  <c:v>0.13102409638554158</c:v>
                </c:pt>
                <c:pt idx="79">
                  <c:v>0.11445783132530174</c:v>
                </c:pt>
                <c:pt idx="80">
                  <c:v>0.11295180722891461</c:v>
                </c:pt>
                <c:pt idx="81">
                  <c:v>0.11972891566265174</c:v>
                </c:pt>
                <c:pt idx="82">
                  <c:v>0.10768072289156584</c:v>
                </c:pt>
                <c:pt idx="83">
                  <c:v>0.10617469879517995</c:v>
                </c:pt>
                <c:pt idx="84">
                  <c:v>0.10993975903614656</c:v>
                </c:pt>
                <c:pt idx="85">
                  <c:v>0.10316265060240816</c:v>
                </c:pt>
                <c:pt idx="86">
                  <c:v>0.10240963855421709</c:v>
                </c:pt>
                <c:pt idx="87">
                  <c:v>9.3373493975902971E-2</c:v>
                </c:pt>
                <c:pt idx="88">
                  <c:v>9.4879518072291349E-2</c:v>
                </c:pt>
                <c:pt idx="89">
                  <c:v>9.4879518072287616E-2</c:v>
                </c:pt>
                <c:pt idx="90">
                  <c:v>8.8102409638555451E-2</c:v>
                </c:pt>
                <c:pt idx="91">
                  <c:v>9.0361445783132432E-2</c:v>
                </c:pt>
                <c:pt idx="92">
                  <c:v>8.5090361445782428E-2</c:v>
                </c:pt>
                <c:pt idx="93">
                  <c:v>7.9819277108432424E-2</c:v>
                </c:pt>
                <c:pt idx="94">
                  <c:v>7.8313253012050263E-2</c:v>
                </c:pt>
                <c:pt idx="95">
                  <c:v>7.2289156626504203E-2</c:v>
                </c:pt>
                <c:pt idx="96">
                  <c:v>7.0783132530120793E-2</c:v>
                </c:pt>
                <c:pt idx="97">
                  <c:v>6.6265060240963125E-2</c:v>
                </c:pt>
                <c:pt idx="98">
                  <c:v>5.7228915662651494E-2</c:v>
                </c:pt>
                <c:pt idx="99">
                  <c:v>5.8734939759036139E-2</c:v>
                </c:pt>
                <c:pt idx="100">
                  <c:v>5.2710843373493813E-2</c:v>
                </c:pt>
                <c:pt idx="101">
                  <c:v>5.4216867469879707E-2</c:v>
                </c:pt>
                <c:pt idx="102">
                  <c:v>4.2168674698796295E-2</c:v>
                </c:pt>
                <c:pt idx="103">
                  <c:v>3.8403614457829693E-2</c:v>
                </c:pt>
                <c:pt idx="104">
                  <c:v>3.8403614457832184E-2</c:v>
                </c:pt>
                <c:pt idx="105">
                  <c:v>3.6144578313252726E-2</c:v>
                </c:pt>
                <c:pt idx="106">
                  <c:v>3.1626506024096286E-2</c:v>
                </c:pt>
                <c:pt idx="107">
                  <c:v>2.7861445783132179E-2</c:v>
                </c:pt>
                <c:pt idx="108">
                  <c:v>2.6355421686747531E-2</c:v>
                </c:pt>
                <c:pt idx="109">
                  <c:v>1.882530120481931E-2</c:v>
                </c:pt>
                <c:pt idx="110">
                  <c:v>1.5060240963855198E-2</c:v>
                </c:pt>
                <c:pt idx="111">
                  <c:v>1.5813253012047522E-2</c:v>
                </c:pt>
                <c:pt idx="112">
                  <c:v>1.4307228915662874E-2</c:v>
                </c:pt>
                <c:pt idx="113">
                  <c:v>1.0542168674700007E-2</c:v>
                </c:pt>
                <c:pt idx="114">
                  <c:v>8.2831325301193012E-3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76864"/>
        <c:axId val="49226880"/>
      </c:scatterChart>
      <c:valAx>
        <c:axId val="49076864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Pore Throat Radius (Microns)</a:t>
                </a:r>
              </a:p>
            </c:rich>
          </c:tx>
          <c:layout>
            <c:manualLayout>
              <c:xMode val="edge"/>
              <c:yMode val="edge"/>
              <c:x val="0.40037962382730313"/>
              <c:y val="0.92577462934190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49226880"/>
        <c:crosses val="autoZero"/>
        <c:crossBetween val="midCat"/>
      </c:valAx>
      <c:valAx>
        <c:axId val="49226880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Dristubition Function</a:t>
                </a:r>
              </a:p>
            </c:rich>
          </c:tx>
          <c:layout>
            <c:manualLayout>
              <c:xMode val="edge"/>
              <c:yMode val="edge"/>
              <c:x val="3.5392202272293852E-2"/>
              <c:y val="0.30886858206270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49076864"/>
        <c:crossesAt val="1.0000000000000041E-3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chemeClr val="dk1"/>
      </a:solidFill>
    </a:ln>
  </c:spPr>
  <c:txPr>
    <a:bodyPr/>
    <a:lstStyle/>
    <a:p>
      <a:pPr>
        <a:defRPr sz="800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844" r="0.75000000000000844" t="1" header="0.5" footer="0.5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1">
                <a:latin typeface="Arial"/>
              </a:rPr>
              <a:t>Saturation vs Log Pore Throat Size</a:t>
            </a:r>
          </a:p>
        </c:rich>
      </c:tx>
      <c:layout>
        <c:manualLayout>
          <c:xMode val="edge"/>
          <c:yMode val="edge"/>
          <c:x val="0.33093532012654897"/>
          <c:y val="3.1042222084444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664490420478818"/>
          <c:y val="0.10419268510258722"/>
          <c:w val="0.79829436705027268"/>
          <c:h val="0.76090414211159918"/>
        </c:manualLayout>
      </c:layout>
      <c:scatterChart>
        <c:scatterStyle val="smoothMarker"/>
        <c:varyColors val="0"/>
        <c:ser>
          <c:idx val="0"/>
          <c:order val="0"/>
          <c:tx>
            <c:v>Sat. (Frac)</c:v>
          </c:tx>
          <c:spPr>
            <a:ln w="12700">
              <a:solidFill>
                <a:srgbClr val="800080"/>
              </a:solidFill>
            </a:ln>
          </c:spPr>
          <c:marker>
            <c:symbol val="diamond"/>
            <c:size val="3"/>
            <c:spPr>
              <a:solidFill>
                <a:srgbClr val="800080"/>
              </a:solidFill>
              <a:ln>
                <a:solidFill>
                  <a:srgbClr val="800080"/>
                </a:solidFill>
              </a:ln>
            </c:spPr>
          </c:marker>
          <c:xVal>
            <c:numRef>
              <c:f>Table!$E$18:$E$135</c:f>
              <c:numCache>
                <c:formatCode>???0.000</c:formatCode>
                <c:ptCount val="118"/>
                <c:pt idx="0">
                  <c:v>60.104656176542989</c:v>
                </c:pt>
                <c:pt idx="1">
                  <c:v>57.365758944315388</c:v>
                </c:pt>
                <c:pt idx="2">
                  <c:v>50.350711136270903</c:v>
                </c:pt>
                <c:pt idx="3">
                  <c:v>45.280560930657195</c:v>
                </c:pt>
                <c:pt idx="4">
                  <c:v>42.123993193634711</c:v>
                </c:pt>
                <c:pt idx="5">
                  <c:v>38.582404466966551</c:v>
                </c:pt>
                <c:pt idx="6">
                  <c:v>35.396318395658398</c:v>
                </c:pt>
                <c:pt idx="7">
                  <c:v>32.396875199467857</c:v>
                </c:pt>
                <c:pt idx="8">
                  <c:v>29.697063648317201</c:v>
                </c:pt>
                <c:pt idx="9">
                  <c:v>27.196537866361037</c:v>
                </c:pt>
                <c:pt idx="10">
                  <c:v>24.802789026814047</c:v>
                </c:pt>
                <c:pt idx="11">
                  <c:v>22.658177614329009</c:v>
                </c:pt>
                <c:pt idx="12">
                  <c:v>20.703519790560577</c:v>
                </c:pt>
                <c:pt idx="13">
                  <c:v>18.961369535355804</c:v>
                </c:pt>
                <c:pt idx="14">
                  <c:v>17.369814518078805</c:v>
                </c:pt>
                <c:pt idx="15">
                  <c:v>15.893519003842709</c:v>
                </c:pt>
                <c:pt idx="16">
                  <c:v>14.534051313245987</c:v>
                </c:pt>
                <c:pt idx="17">
                  <c:v>13.284924603021636</c:v>
                </c:pt>
                <c:pt idx="18">
                  <c:v>12.148167363843282</c:v>
                </c:pt>
                <c:pt idx="19">
                  <c:v>11.107003337746461</c:v>
                </c:pt>
                <c:pt idx="20">
                  <c:v>10.150332040228813</c:v>
                </c:pt>
                <c:pt idx="21">
                  <c:v>9.2786064080497574</c:v>
                </c:pt>
                <c:pt idx="22">
                  <c:v>8.4974198623988091</c:v>
                </c:pt>
                <c:pt idx="23">
                  <c:v>7.7115829892910375</c:v>
                </c:pt>
                <c:pt idx="24">
                  <c:v>7.1147225400812015</c:v>
                </c:pt>
                <c:pt idx="25">
                  <c:v>6.4629299311085449</c:v>
                </c:pt>
                <c:pt idx="26">
                  <c:v>5.9241783101626542</c:v>
                </c:pt>
                <c:pt idx="27">
                  <c:v>5.4317224983932801</c:v>
                </c:pt>
                <c:pt idx="28">
                  <c:v>4.9626058029584676</c:v>
                </c:pt>
                <c:pt idx="29">
                  <c:v>4.5246475015936829</c:v>
                </c:pt>
                <c:pt idx="30">
                  <c:v>4.1365055899707999</c:v>
                </c:pt>
                <c:pt idx="31">
                  <c:v>3.7791206120437324</c:v>
                </c:pt>
                <c:pt idx="32">
                  <c:v>3.444462460622729</c:v>
                </c:pt>
                <c:pt idx="33">
                  <c:v>3.1606482343236615</c:v>
                </c:pt>
                <c:pt idx="34">
                  <c:v>2.6909017907173864</c:v>
                </c:pt>
                <c:pt idx="35">
                  <c:v>2.5545685146080994</c:v>
                </c:pt>
                <c:pt idx="36">
                  <c:v>2.2271155403244087</c:v>
                </c:pt>
                <c:pt idx="37">
                  <c:v>2.0725738648518721</c:v>
                </c:pt>
                <c:pt idx="38">
                  <c:v>1.8789544027770544</c:v>
                </c:pt>
                <c:pt idx="39">
                  <c:v>1.717793603914594</c:v>
                </c:pt>
                <c:pt idx="40">
                  <c:v>1.594552314138745</c:v>
                </c:pt>
                <c:pt idx="41">
                  <c:v>1.4270910724041954</c:v>
                </c:pt>
                <c:pt idx="42">
                  <c:v>1.3114330604283893</c:v>
                </c:pt>
                <c:pt idx="43">
                  <c:v>1.1934748633736361</c:v>
                </c:pt>
                <c:pt idx="44">
                  <c:v>1.0905306429497332</c:v>
                </c:pt>
                <c:pt idx="45">
                  <c:v>0.99005417179147548</c:v>
                </c:pt>
                <c:pt idx="46">
                  <c:v>0.91076186700567585</c:v>
                </c:pt>
                <c:pt idx="47">
                  <c:v>0.82934755640053726</c:v>
                </c:pt>
                <c:pt idx="48">
                  <c:v>0.76004161236628853</c:v>
                </c:pt>
                <c:pt idx="49">
                  <c:v>0.69377815389207875</c:v>
                </c:pt>
                <c:pt idx="50">
                  <c:v>0.63608074583386398</c:v>
                </c:pt>
                <c:pt idx="51">
                  <c:v>0.57939274215617564</c:v>
                </c:pt>
                <c:pt idx="52">
                  <c:v>0.5285253634077216</c:v>
                </c:pt>
                <c:pt idx="53">
                  <c:v>0.48479552271042098</c:v>
                </c:pt>
                <c:pt idx="54">
                  <c:v>0.44113982712237804</c:v>
                </c:pt>
                <c:pt idx="55">
                  <c:v>0.40324627153190395</c:v>
                </c:pt>
                <c:pt idx="56">
                  <c:v>0.36757222839471099</c:v>
                </c:pt>
                <c:pt idx="57">
                  <c:v>0.33666289173031094</c:v>
                </c:pt>
                <c:pt idx="58">
                  <c:v>0.30755442385552573</c:v>
                </c:pt>
                <c:pt idx="59">
                  <c:v>0.28024503705789444</c:v>
                </c:pt>
                <c:pt idx="60">
                  <c:v>0.25640283455839774</c:v>
                </c:pt>
                <c:pt idx="61">
                  <c:v>0.23426638323775353</c:v>
                </c:pt>
                <c:pt idx="62">
                  <c:v>0.21453056050096897</c:v>
                </c:pt>
                <c:pt idx="63">
                  <c:v>0.19549932175457074</c:v>
                </c:pt>
                <c:pt idx="64">
                  <c:v>0.17887097376118857</c:v>
                </c:pt>
                <c:pt idx="65">
                  <c:v>0.16317025622319284</c:v>
                </c:pt>
                <c:pt idx="66">
                  <c:v>0.14956147417523516</c:v>
                </c:pt>
                <c:pt idx="67">
                  <c:v>0.13642838471606991</c:v>
                </c:pt>
                <c:pt idx="68">
                  <c:v>0.12488877908052905</c:v>
                </c:pt>
                <c:pt idx="69">
                  <c:v>0.11400455698676371</c:v>
                </c:pt>
                <c:pt idx="70">
                  <c:v>0.10415594049190467</c:v>
                </c:pt>
                <c:pt idx="71">
                  <c:v>9.5136980287019224E-2</c:v>
                </c:pt>
                <c:pt idx="72">
                  <c:v>8.7289430962345538E-2</c:v>
                </c:pt>
                <c:pt idx="73">
                  <c:v>7.984326282459768E-2</c:v>
                </c:pt>
                <c:pt idx="74">
                  <c:v>7.2825780566691756E-2</c:v>
                </c:pt>
                <c:pt idx="75">
                  <c:v>6.6504558313179696E-2</c:v>
                </c:pt>
                <c:pt idx="76">
                  <c:v>6.0782127350697844E-2</c:v>
                </c:pt>
                <c:pt idx="77">
                  <c:v>5.562583028801326E-2</c:v>
                </c:pt>
                <c:pt idx="78">
                  <c:v>5.0719086482593205E-2</c:v>
                </c:pt>
                <c:pt idx="79">
                  <c:v>4.6321092401993197E-2</c:v>
                </c:pt>
                <c:pt idx="80">
                  <c:v>4.2484804792804851E-2</c:v>
                </c:pt>
                <c:pt idx="81">
                  <c:v>3.8676151341720096E-2</c:v>
                </c:pt>
                <c:pt idx="82">
                  <c:v>3.5445843597256714E-2</c:v>
                </c:pt>
                <c:pt idx="83">
                  <c:v>3.2402763609285679E-2</c:v>
                </c:pt>
                <c:pt idx="84">
                  <c:v>2.9562547827710839E-2</c:v>
                </c:pt>
                <c:pt idx="85">
                  <c:v>2.7061879812358046E-2</c:v>
                </c:pt>
                <c:pt idx="86">
                  <c:v>2.4719166673993417E-2</c:v>
                </c:pt>
                <c:pt idx="87">
                  <c:v>2.2581926977390303E-2</c:v>
                </c:pt>
                <c:pt idx="88">
                  <c:v>2.0677465099409455E-2</c:v>
                </c:pt>
                <c:pt idx="89">
                  <c:v>1.8917856728021116E-2</c:v>
                </c:pt>
                <c:pt idx="90">
                  <c:v>1.7277179940126366E-2</c:v>
                </c:pt>
                <c:pt idx="91">
                  <c:v>1.5793749632259824E-2</c:v>
                </c:pt>
                <c:pt idx="92">
                  <c:v>1.4426751947676002E-2</c:v>
                </c:pt>
                <c:pt idx="93">
                  <c:v>1.3202766138386392E-2</c:v>
                </c:pt>
                <c:pt idx="94">
                  <c:v>1.2054932910582671E-2</c:v>
                </c:pt>
                <c:pt idx="95">
                  <c:v>1.1023513036744006E-2</c:v>
                </c:pt>
                <c:pt idx="96">
                  <c:v>1.0082175166652829E-2</c:v>
                </c:pt>
                <c:pt idx="97">
                  <c:v>9.2091449446707902E-3</c:v>
                </c:pt>
                <c:pt idx="98">
                  <c:v>8.4204160101876459E-3</c:v>
                </c:pt>
                <c:pt idx="99">
                  <c:v>7.7067508017006807E-3</c:v>
                </c:pt>
                <c:pt idx="100">
                  <c:v>7.0545941479684543E-3</c:v>
                </c:pt>
                <c:pt idx="101">
                  <c:v>6.4132831397421784E-3</c:v>
                </c:pt>
                <c:pt idx="102">
                  <c:v>5.8777651127116318E-3</c:v>
                </c:pt>
                <c:pt idx="103">
                  <c:v>5.361993878074592E-3</c:v>
                </c:pt>
                <c:pt idx="104">
                  <c:v>4.9037717300972981E-3</c:v>
                </c:pt>
                <c:pt idx="105">
                  <c:v>4.4958930820524576E-3</c:v>
                </c:pt>
                <c:pt idx="106">
                  <c:v>4.111243603546629E-3</c:v>
                </c:pt>
                <c:pt idx="107">
                  <c:v>3.7572678416271832E-3</c:v>
                </c:pt>
                <c:pt idx="108">
                  <c:v>3.4335093830999701E-3</c:v>
                </c:pt>
                <c:pt idx="109">
                  <c:v>3.1287136299109211E-3</c:v>
                </c:pt>
                <c:pt idx="110">
                  <c:v>2.8645441653023323E-3</c:v>
                </c:pt>
                <c:pt idx="111">
                  <c:v>2.6191461332100243E-3</c:v>
                </c:pt>
                <c:pt idx="112">
                  <c:v>2.3947144384001925E-3</c:v>
                </c:pt>
                <c:pt idx="113">
                  <c:v>2.1890619985139989E-3</c:v>
                </c:pt>
                <c:pt idx="114">
                  <c:v>2.0025222873809733E-3</c:v>
                </c:pt>
                <c:pt idx="115">
                  <c:v>1.8305135307821903E-3</c:v>
                </c:pt>
                <c:pt idx="116">
                  <c:v>1.673525075157104E-3</c:v>
                </c:pt>
                <c:pt idx="117">
                  <c:v>1.5413150011841902E-3</c:v>
                </c:pt>
              </c:numCache>
            </c:numRef>
          </c:xVal>
          <c:yVal>
            <c:numRef>
              <c:f>'Raw Data'!$E$18:$E$135</c:f>
              <c:numCache>
                <c:formatCode>0.000</c:formatCode>
                <c:ptCount val="1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1.3435442697836813E-4</c:v>
                </c:pt>
                <c:pt idx="40">
                  <c:v>3.3588606744592268E-4</c:v>
                </c:pt>
                <c:pt idx="41">
                  <c:v>6.7177213489184537E-4</c:v>
                </c:pt>
                <c:pt idx="42">
                  <c:v>1.0076582023377679E-3</c:v>
                </c:pt>
                <c:pt idx="43">
                  <c:v>2.0824936181647177E-3</c:v>
                </c:pt>
                <c:pt idx="44">
                  <c:v>3.0229746070133015E-3</c:v>
                </c:pt>
                <c:pt idx="45">
                  <c:v>5.9115947870482331E-3</c:v>
                </c:pt>
                <c:pt idx="46">
                  <c:v>9.5391643154641957E-3</c:v>
                </c:pt>
                <c:pt idx="47">
                  <c:v>1.6324062877871824E-2</c:v>
                </c:pt>
                <c:pt idx="48">
                  <c:v>2.8012898024989925E-2</c:v>
                </c:pt>
                <c:pt idx="49">
                  <c:v>5.0853150611312646E-2</c:v>
                </c:pt>
                <c:pt idx="50">
                  <c:v>9.7406959559317483E-2</c:v>
                </c:pt>
                <c:pt idx="51">
                  <c:v>0.17083165390299612</c:v>
                </c:pt>
                <c:pt idx="52">
                  <c:v>0.26004299341663312</c:v>
                </c:pt>
                <c:pt idx="53">
                  <c:v>0.34831385194142145</c:v>
                </c:pt>
                <c:pt idx="54">
                  <c:v>0.40877334408168753</c:v>
                </c:pt>
                <c:pt idx="55">
                  <c:v>0.43745801424156927</c:v>
                </c:pt>
                <c:pt idx="56">
                  <c:v>0.46090286174929468</c:v>
                </c:pt>
                <c:pt idx="57">
                  <c:v>0.48038425366115811</c:v>
                </c:pt>
                <c:pt idx="58">
                  <c:v>0.49939540507859731</c:v>
                </c:pt>
                <c:pt idx="59">
                  <c:v>0.51679430337229615</c:v>
                </c:pt>
                <c:pt idx="60">
                  <c:v>0.5335886067445923</c:v>
                </c:pt>
                <c:pt idx="61">
                  <c:v>0.55051726454386674</c:v>
                </c:pt>
                <c:pt idx="62">
                  <c:v>0.56724439070267374</c:v>
                </c:pt>
                <c:pt idx="63">
                  <c:v>0.58356845358054554</c:v>
                </c:pt>
                <c:pt idx="64">
                  <c:v>0.5995566303909714</c:v>
                </c:pt>
                <c:pt idx="65">
                  <c:v>0.6158806932688432</c:v>
                </c:pt>
                <c:pt idx="66">
                  <c:v>0.63099556630390974</c:v>
                </c:pt>
                <c:pt idx="67">
                  <c:v>0.64678221147386805</c:v>
                </c:pt>
                <c:pt idx="68">
                  <c:v>0.66169555286846704</c:v>
                </c:pt>
                <c:pt idx="69">
                  <c:v>0.67674324869004443</c:v>
                </c:pt>
                <c:pt idx="70">
                  <c:v>0.69085046352277313</c:v>
                </c:pt>
                <c:pt idx="71">
                  <c:v>0.70462179228805588</c:v>
                </c:pt>
                <c:pt idx="72">
                  <c:v>0.71772134891844686</c:v>
                </c:pt>
                <c:pt idx="73">
                  <c:v>0.73095525997581634</c:v>
                </c:pt>
                <c:pt idx="74">
                  <c:v>0.7437861077522504</c:v>
                </c:pt>
                <c:pt idx="75">
                  <c:v>0.75628106946123874</c:v>
                </c:pt>
                <c:pt idx="76">
                  <c:v>0.76830579067580274</c:v>
                </c:pt>
                <c:pt idx="77">
                  <c:v>0.77979309418245335</c:v>
                </c:pt>
                <c:pt idx="78">
                  <c:v>0.7914819293295714</c:v>
                </c:pt>
                <c:pt idx="79">
                  <c:v>0.80169286577992749</c:v>
                </c:pt>
                <c:pt idx="80">
                  <c:v>0.81176944780330507</c:v>
                </c:pt>
                <c:pt idx="81">
                  <c:v>0.8224506247480855</c:v>
                </c:pt>
                <c:pt idx="82">
                  <c:v>0.83205696627703885</c:v>
                </c:pt>
                <c:pt idx="83">
                  <c:v>0.84152895337901379</c:v>
                </c:pt>
                <c:pt idx="84">
                  <c:v>0.8513368265484349</c:v>
                </c:pt>
                <c:pt idx="85">
                  <c:v>0.86054010479645304</c:v>
                </c:pt>
                <c:pt idx="86">
                  <c:v>0.86967620583098215</c:v>
                </c:pt>
                <c:pt idx="87">
                  <c:v>0.87800618030364097</c:v>
                </c:pt>
                <c:pt idx="88">
                  <c:v>0.88647050920327841</c:v>
                </c:pt>
                <c:pt idx="89">
                  <c:v>0.89493483810291552</c:v>
                </c:pt>
                <c:pt idx="90">
                  <c:v>0.90279457208115022</c:v>
                </c:pt>
                <c:pt idx="91">
                  <c:v>0.91085583769985234</c:v>
                </c:pt>
                <c:pt idx="92">
                  <c:v>0.91844686282413013</c:v>
                </c:pt>
                <c:pt idx="93">
                  <c:v>0.92556764745398357</c:v>
                </c:pt>
                <c:pt idx="94">
                  <c:v>0.93255407765685894</c:v>
                </c:pt>
                <c:pt idx="95">
                  <c:v>0.93900309015182049</c:v>
                </c:pt>
                <c:pt idx="96">
                  <c:v>0.94531774821980386</c:v>
                </c:pt>
                <c:pt idx="97">
                  <c:v>0.95122934300685202</c:v>
                </c:pt>
                <c:pt idx="98">
                  <c:v>0.95633481123203012</c:v>
                </c:pt>
                <c:pt idx="99">
                  <c:v>0.96157463388418651</c:v>
                </c:pt>
                <c:pt idx="100">
                  <c:v>0.96627703882842941</c:v>
                </c:pt>
                <c:pt idx="101">
                  <c:v>0.97111379819965071</c:v>
                </c:pt>
                <c:pt idx="102">
                  <c:v>0.97487572215504514</c:v>
                </c:pt>
                <c:pt idx="103">
                  <c:v>0.97830176004299341</c:v>
                </c:pt>
                <c:pt idx="104">
                  <c:v>0.98172779793094189</c:v>
                </c:pt>
                <c:pt idx="105">
                  <c:v>0.98495230417842272</c:v>
                </c:pt>
                <c:pt idx="106">
                  <c:v>0.98777374714496846</c:v>
                </c:pt>
                <c:pt idx="107">
                  <c:v>0.99025930404406826</c:v>
                </c:pt>
                <c:pt idx="108">
                  <c:v>0.99261050651618976</c:v>
                </c:pt>
                <c:pt idx="109">
                  <c:v>0.99428993685341938</c:v>
                </c:pt>
                <c:pt idx="110">
                  <c:v>0.99563348112320305</c:v>
                </c:pt>
                <c:pt idx="111">
                  <c:v>0.99704420260647586</c:v>
                </c:pt>
                <c:pt idx="112">
                  <c:v>0.99832056966277039</c:v>
                </c:pt>
                <c:pt idx="113">
                  <c:v>0.99926105065161908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08800"/>
        <c:axId val="49311104"/>
      </c:scatterChart>
      <c:valAx>
        <c:axId val="49308800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Log Pore Throat Radius (Microns)</a:t>
                </a:r>
              </a:p>
            </c:rich>
          </c:tx>
          <c:layout>
            <c:manualLayout>
              <c:xMode val="edge"/>
              <c:yMode val="edge"/>
              <c:x val="0.39768561318499929"/>
              <c:y val="0.942799210869595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49311104"/>
        <c:crosses val="autoZero"/>
        <c:crossBetween val="midCat"/>
      </c:valAx>
      <c:valAx>
        <c:axId val="49311104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Mercury Saturation, fractional</a:t>
                </a:r>
              </a:p>
            </c:rich>
          </c:tx>
          <c:layout>
            <c:manualLayout>
              <c:xMode val="edge"/>
              <c:yMode val="edge"/>
              <c:x val="1.7213682297809941E-2"/>
              <c:y val="0.331670401146337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49308800"/>
        <c:crossesAt val="1.0000000000000041E-3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>
      <a:solidFill>
        <a:sysClr val="windowText" lastClr="000000"/>
      </a:solidFill>
    </a:ln>
  </c:spPr>
  <c:txPr>
    <a:bodyPr/>
    <a:lstStyle/>
    <a:p>
      <a:pPr>
        <a:defRPr sz="825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966" r="0.75000000000000966" t="1" header="0.5" footer="0.5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1">
                <a:latin typeface="Arial"/>
              </a:rPr>
              <a:t>d Sw / d Log Pore Throat Size vs Log Pore Throat Size</a:t>
            </a:r>
          </a:p>
        </c:rich>
      </c:tx>
      <c:layout>
        <c:manualLayout>
          <c:xMode val="edge"/>
          <c:yMode val="edge"/>
          <c:x val="0.2429618814204548"/>
          <c:y val="3.10126151025640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48905544897"/>
          <c:y val="0.10031489965429066"/>
          <c:w val="0.81356164375743056"/>
          <c:h val="0.76537560680389582"/>
        </c:manualLayout>
      </c:layout>
      <c:scatterChart>
        <c:scatterStyle val="smoothMarker"/>
        <c:varyColors val="0"/>
        <c:ser>
          <c:idx val="0"/>
          <c:order val="0"/>
          <c:tx>
            <c:v>Sat. (Frac)</c:v>
          </c:tx>
          <c:spPr>
            <a:ln w="12700">
              <a:solidFill>
                <a:srgbClr val="FF0000"/>
              </a:solidFill>
            </a:ln>
          </c:spPr>
          <c:marker>
            <c:symbol val="diamond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Table!$E$18:$E$135</c:f>
              <c:numCache>
                <c:formatCode>???0.000</c:formatCode>
                <c:ptCount val="118"/>
                <c:pt idx="0">
                  <c:v>60.104656176542989</c:v>
                </c:pt>
                <c:pt idx="1">
                  <c:v>57.365758944315388</c:v>
                </c:pt>
                <c:pt idx="2">
                  <c:v>50.350711136270903</c:v>
                </c:pt>
                <c:pt idx="3">
                  <c:v>45.280560930657195</c:v>
                </c:pt>
                <c:pt idx="4">
                  <c:v>42.123993193634711</c:v>
                </c:pt>
                <c:pt idx="5">
                  <c:v>38.582404466966551</c:v>
                </c:pt>
                <c:pt idx="6">
                  <c:v>35.396318395658398</c:v>
                </c:pt>
                <c:pt idx="7">
                  <c:v>32.396875199467857</c:v>
                </c:pt>
                <c:pt idx="8">
                  <c:v>29.697063648317201</c:v>
                </c:pt>
                <c:pt idx="9">
                  <c:v>27.196537866361037</c:v>
                </c:pt>
                <c:pt idx="10">
                  <c:v>24.802789026814047</c:v>
                </c:pt>
                <c:pt idx="11">
                  <c:v>22.658177614329009</c:v>
                </c:pt>
                <c:pt idx="12">
                  <c:v>20.703519790560577</c:v>
                </c:pt>
                <c:pt idx="13">
                  <c:v>18.961369535355804</c:v>
                </c:pt>
                <c:pt idx="14">
                  <c:v>17.369814518078805</c:v>
                </c:pt>
                <c:pt idx="15">
                  <c:v>15.893519003842709</c:v>
                </c:pt>
                <c:pt idx="16">
                  <c:v>14.534051313245987</c:v>
                </c:pt>
                <c:pt idx="17">
                  <c:v>13.284924603021636</c:v>
                </c:pt>
                <c:pt idx="18">
                  <c:v>12.148167363843282</c:v>
                </c:pt>
                <c:pt idx="19">
                  <c:v>11.107003337746461</c:v>
                </c:pt>
                <c:pt idx="20">
                  <c:v>10.150332040228813</c:v>
                </c:pt>
                <c:pt idx="21">
                  <c:v>9.2786064080497574</c:v>
                </c:pt>
                <c:pt idx="22">
                  <c:v>8.4974198623988091</c:v>
                </c:pt>
                <c:pt idx="23">
                  <c:v>7.7115829892910375</c:v>
                </c:pt>
                <c:pt idx="24">
                  <c:v>7.1147225400812015</c:v>
                </c:pt>
                <c:pt idx="25">
                  <c:v>6.4629299311085449</c:v>
                </c:pt>
                <c:pt idx="26">
                  <c:v>5.9241783101626542</c:v>
                </c:pt>
                <c:pt idx="27">
                  <c:v>5.4317224983932801</c:v>
                </c:pt>
                <c:pt idx="28">
                  <c:v>4.9626058029584676</c:v>
                </c:pt>
                <c:pt idx="29">
                  <c:v>4.5246475015936829</c:v>
                </c:pt>
                <c:pt idx="30">
                  <c:v>4.1365055899707999</c:v>
                </c:pt>
                <c:pt idx="31">
                  <c:v>3.7791206120437324</c:v>
                </c:pt>
                <c:pt idx="32">
                  <c:v>3.444462460622729</c:v>
                </c:pt>
                <c:pt idx="33">
                  <c:v>3.1606482343236615</c:v>
                </c:pt>
                <c:pt idx="34">
                  <c:v>2.6909017907173864</c:v>
                </c:pt>
                <c:pt idx="35">
                  <c:v>2.5545685146080994</c:v>
                </c:pt>
                <c:pt idx="36">
                  <c:v>2.2271155403244087</c:v>
                </c:pt>
                <c:pt idx="37">
                  <c:v>2.0725738648518721</c:v>
                </c:pt>
                <c:pt idx="38">
                  <c:v>1.8789544027770544</c:v>
                </c:pt>
                <c:pt idx="39">
                  <c:v>1.717793603914594</c:v>
                </c:pt>
                <c:pt idx="40">
                  <c:v>1.594552314138745</c:v>
                </c:pt>
                <c:pt idx="41">
                  <c:v>1.4270910724041954</c:v>
                </c:pt>
                <c:pt idx="42">
                  <c:v>1.3114330604283893</c:v>
                </c:pt>
                <c:pt idx="43">
                  <c:v>1.1934748633736361</c:v>
                </c:pt>
                <c:pt idx="44">
                  <c:v>1.0905306429497332</c:v>
                </c:pt>
                <c:pt idx="45">
                  <c:v>0.99005417179147548</c:v>
                </c:pt>
                <c:pt idx="46">
                  <c:v>0.91076186700567585</c:v>
                </c:pt>
                <c:pt idx="47">
                  <c:v>0.82934755640053726</c:v>
                </c:pt>
                <c:pt idx="48">
                  <c:v>0.76004161236628853</c:v>
                </c:pt>
                <c:pt idx="49">
                  <c:v>0.69377815389207875</c:v>
                </c:pt>
                <c:pt idx="50">
                  <c:v>0.63608074583386398</c:v>
                </c:pt>
                <c:pt idx="51">
                  <c:v>0.57939274215617564</c:v>
                </c:pt>
                <c:pt idx="52">
                  <c:v>0.5285253634077216</c:v>
                </c:pt>
                <c:pt idx="53">
                  <c:v>0.48479552271042098</c:v>
                </c:pt>
                <c:pt idx="54">
                  <c:v>0.44113982712237804</c:v>
                </c:pt>
                <c:pt idx="55">
                  <c:v>0.40324627153190395</c:v>
                </c:pt>
                <c:pt idx="56">
                  <c:v>0.36757222839471099</c:v>
                </c:pt>
                <c:pt idx="57">
                  <c:v>0.33666289173031094</c:v>
                </c:pt>
                <c:pt idx="58">
                  <c:v>0.30755442385552573</c:v>
                </c:pt>
                <c:pt idx="59">
                  <c:v>0.28024503705789444</c:v>
                </c:pt>
                <c:pt idx="60">
                  <c:v>0.25640283455839774</c:v>
                </c:pt>
                <c:pt idx="61">
                  <c:v>0.23426638323775353</c:v>
                </c:pt>
                <c:pt idx="62">
                  <c:v>0.21453056050096897</c:v>
                </c:pt>
                <c:pt idx="63">
                  <c:v>0.19549932175457074</c:v>
                </c:pt>
                <c:pt idx="64">
                  <c:v>0.17887097376118857</c:v>
                </c:pt>
                <c:pt idx="65">
                  <c:v>0.16317025622319284</c:v>
                </c:pt>
                <c:pt idx="66">
                  <c:v>0.14956147417523516</c:v>
                </c:pt>
                <c:pt idx="67">
                  <c:v>0.13642838471606991</c:v>
                </c:pt>
                <c:pt idx="68">
                  <c:v>0.12488877908052905</c:v>
                </c:pt>
                <c:pt idx="69">
                  <c:v>0.11400455698676371</c:v>
                </c:pt>
                <c:pt idx="70">
                  <c:v>0.10415594049190467</c:v>
                </c:pt>
                <c:pt idx="71">
                  <c:v>9.5136980287019224E-2</c:v>
                </c:pt>
                <c:pt idx="72">
                  <c:v>8.7289430962345538E-2</c:v>
                </c:pt>
                <c:pt idx="73">
                  <c:v>7.984326282459768E-2</c:v>
                </c:pt>
                <c:pt idx="74">
                  <c:v>7.2825780566691756E-2</c:v>
                </c:pt>
                <c:pt idx="75">
                  <c:v>6.6504558313179696E-2</c:v>
                </c:pt>
                <c:pt idx="76">
                  <c:v>6.0782127350697844E-2</c:v>
                </c:pt>
                <c:pt idx="77">
                  <c:v>5.562583028801326E-2</c:v>
                </c:pt>
                <c:pt idx="78">
                  <c:v>5.0719086482593205E-2</c:v>
                </c:pt>
                <c:pt idx="79">
                  <c:v>4.6321092401993197E-2</c:v>
                </c:pt>
                <c:pt idx="80">
                  <c:v>4.2484804792804851E-2</c:v>
                </c:pt>
                <c:pt idx="81">
                  <c:v>3.8676151341720096E-2</c:v>
                </c:pt>
                <c:pt idx="82">
                  <c:v>3.5445843597256714E-2</c:v>
                </c:pt>
                <c:pt idx="83">
                  <c:v>3.2402763609285679E-2</c:v>
                </c:pt>
                <c:pt idx="84">
                  <c:v>2.9562547827710839E-2</c:v>
                </c:pt>
                <c:pt idx="85">
                  <c:v>2.7061879812358046E-2</c:v>
                </c:pt>
                <c:pt idx="86">
                  <c:v>2.4719166673993417E-2</c:v>
                </c:pt>
                <c:pt idx="87">
                  <c:v>2.2581926977390303E-2</c:v>
                </c:pt>
                <c:pt idx="88">
                  <c:v>2.0677465099409455E-2</c:v>
                </c:pt>
                <c:pt idx="89">
                  <c:v>1.8917856728021116E-2</c:v>
                </c:pt>
                <c:pt idx="90">
                  <c:v>1.7277179940126366E-2</c:v>
                </c:pt>
                <c:pt idx="91">
                  <c:v>1.5793749632259824E-2</c:v>
                </c:pt>
                <c:pt idx="92">
                  <c:v>1.4426751947676002E-2</c:v>
                </c:pt>
                <c:pt idx="93">
                  <c:v>1.3202766138386392E-2</c:v>
                </c:pt>
                <c:pt idx="94">
                  <c:v>1.2054932910582671E-2</c:v>
                </c:pt>
                <c:pt idx="95">
                  <c:v>1.1023513036744006E-2</c:v>
                </c:pt>
                <c:pt idx="96">
                  <c:v>1.0082175166652829E-2</c:v>
                </c:pt>
                <c:pt idx="97">
                  <c:v>9.2091449446707902E-3</c:v>
                </c:pt>
                <c:pt idx="98">
                  <c:v>8.4204160101876459E-3</c:v>
                </c:pt>
                <c:pt idx="99">
                  <c:v>7.7067508017006807E-3</c:v>
                </c:pt>
                <c:pt idx="100">
                  <c:v>7.0545941479684543E-3</c:v>
                </c:pt>
                <c:pt idx="101">
                  <c:v>6.4132831397421784E-3</c:v>
                </c:pt>
                <c:pt idx="102">
                  <c:v>5.8777651127116318E-3</c:v>
                </c:pt>
                <c:pt idx="103">
                  <c:v>5.361993878074592E-3</c:v>
                </c:pt>
                <c:pt idx="104">
                  <c:v>4.9037717300972981E-3</c:v>
                </c:pt>
                <c:pt idx="105">
                  <c:v>4.4958930820524576E-3</c:v>
                </c:pt>
                <c:pt idx="106">
                  <c:v>4.111243603546629E-3</c:v>
                </c:pt>
                <c:pt idx="107">
                  <c:v>3.7572678416271832E-3</c:v>
                </c:pt>
                <c:pt idx="108">
                  <c:v>3.4335093830999701E-3</c:v>
                </c:pt>
                <c:pt idx="109">
                  <c:v>3.1287136299109211E-3</c:v>
                </c:pt>
                <c:pt idx="110">
                  <c:v>2.8645441653023323E-3</c:v>
                </c:pt>
                <c:pt idx="111">
                  <c:v>2.6191461332100243E-3</c:v>
                </c:pt>
                <c:pt idx="112">
                  <c:v>2.3947144384001925E-3</c:v>
                </c:pt>
                <c:pt idx="113">
                  <c:v>2.1890619985139989E-3</c:v>
                </c:pt>
                <c:pt idx="114">
                  <c:v>2.0025222873809733E-3</c:v>
                </c:pt>
                <c:pt idx="115">
                  <c:v>1.8305135307821903E-3</c:v>
                </c:pt>
                <c:pt idx="116">
                  <c:v>1.673525075157104E-3</c:v>
                </c:pt>
                <c:pt idx="117">
                  <c:v>1.5413150011841902E-3</c:v>
                </c:pt>
              </c:numCache>
            </c:numRef>
          </c:xVal>
          <c:yVal>
            <c:numRef>
              <c:f>Table!$J$18:$J$135</c:f>
              <c:numCache>
                <c:formatCode>???0.000</c:formatCode>
                <c:ptCount val="1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3.4498274748753599E-3</c:v>
                </c:pt>
                <c:pt idx="40">
                  <c:v>6.2331540462874993E-3</c:v>
                </c:pt>
                <c:pt idx="41">
                  <c:v>6.9704586250778338E-3</c:v>
                </c:pt>
                <c:pt idx="42">
                  <c:v>9.1508222058788655E-3</c:v>
                </c:pt>
                <c:pt idx="43">
                  <c:v>2.625850340985262E-2</c:v>
                </c:pt>
                <c:pt idx="44">
                  <c:v>2.4006925648152558E-2</c:v>
                </c:pt>
                <c:pt idx="45">
                  <c:v>6.8811215364184414E-2</c:v>
                </c:pt>
                <c:pt idx="46">
                  <c:v>0.10005951292656355</c:v>
                </c:pt>
                <c:pt idx="47">
                  <c:v>0.16683519304982236</c:v>
                </c:pt>
                <c:pt idx="48">
                  <c:v>0.30841905694798993</c:v>
                </c:pt>
                <c:pt idx="49">
                  <c:v>0.57653019149971696</c:v>
                </c:pt>
                <c:pt idx="50">
                  <c:v>1.2345749250924407</c:v>
                </c:pt>
                <c:pt idx="51">
                  <c:v>1.8112023942998094</c:v>
                </c:pt>
                <c:pt idx="52">
                  <c:v>2.235468817219616</c:v>
                </c:pt>
                <c:pt idx="53">
                  <c:v>2.3534356162338068</c:v>
                </c:pt>
                <c:pt idx="54">
                  <c:v>1.4752575009353732</c:v>
                </c:pt>
                <c:pt idx="55">
                  <c:v>0.73539295817529893</c:v>
                </c:pt>
                <c:pt idx="56">
                  <c:v>0.58280402265732623</c:v>
                </c:pt>
                <c:pt idx="57">
                  <c:v>0.51068671986797376</c:v>
                </c:pt>
                <c:pt idx="58">
                  <c:v>0.48407354070403996</c:v>
                </c:pt>
                <c:pt idx="59">
                  <c:v>0.43083591554687978</c:v>
                </c:pt>
                <c:pt idx="60">
                  <c:v>0.4349153514189219</c:v>
                </c:pt>
                <c:pt idx="61">
                  <c:v>0.43171200436853724</c:v>
                </c:pt>
                <c:pt idx="62">
                  <c:v>0.43764452520237773</c:v>
                </c:pt>
                <c:pt idx="63">
                  <c:v>0.40462270283011592</c:v>
                </c:pt>
                <c:pt idx="64">
                  <c:v>0.41414370868237549</c:v>
                </c:pt>
                <c:pt idx="65">
                  <c:v>0.40913591083989076</c:v>
                </c:pt>
                <c:pt idx="66">
                  <c:v>0.39963961304998108</c:v>
                </c:pt>
                <c:pt idx="67">
                  <c:v>0.39550658086066948</c:v>
                </c:pt>
                <c:pt idx="68">
                  <c:v>0.38855731010608857</c:v>
                </c:pt>
                <c:pt idx="69">
                  <c:v>0.37998072114653453</c:v>
                </c:pt>
                <c:pt idx="70">
                  <c:v>0.35952788050209872</c:v>
                </c:pt>
                <c:pt idx="71">
                  <c:v>0.35010652074207183</c:v>
                </c:pt>
                <c:pt idx="72">
                  <c:v>0.35037075234539128</c:v>
                </c:pt>
                <c:pt idx="73">
                  <c:v>0.34175500622040694</c:v>
                </c:pt>
                <c:pt idx="74">
                  <c:v>0.32114751478550485</c:v>
                </c:pt>
                <c:pt idx="75">
                  <c:v>0.3168597087613429</c:v>
                </c:pt>
                <c:pt idx="76">
                  <c:v>0.30773031405673423</c:v>
                </c:pt>
                <c:pt idx="77">
                  <c:v>0.29837624950958669</c:v>
                </c:pt>
                <c:pt idx="78">
                  <c:v>0.29145519877415133</c:v>
                </c:pt>
                <c:pt idx="79">
                  <c:v>0.25920931145577764</c:v>
                </c:pt>
                <c:pt idx="80">
                  <c:v>0.26838560461856303</c:v>
                </c:pt>
                <c:pt idx="81">
                  <c:v>0.26185531872918932</c:v>
                </c:pt>
                <c:pt idx="82">
                  <c:v>0.25361313254937617</c:v>
                </c:pt>
                <c:pt idx="83">
                  <c:v>0.24297572947296842</c:v>
                </c:pt>
                <c:pt idx="84">
                  <c:v>0.24618037054638761</c:v>
                </c:pt>
                <c:pt idx="85">
                  <c:v>0.23976923393770591</c:v>
                </c:pt>
                <c:pt idx="86">
                  <c:v>0.23232808598645088</c:v>
                </c:pt>
                <c:pt idx="87">
                  <c:v>0.21210529211057272</c:v>
                </c:pt>
                <c:pt idx="88">
                  <c:v>0.22121040061819391</c:v>
                </c:pt>
                <c:pt idx="89">
                  <c:v>0.2191391338521933</c:v>
                </c:pt>
                <c:pt idx="90">
                  <c:v>0.19949031407547071</c:v>
                </c:pt>
                <c:pt idx="91">
                  <c:v>0.20676482057202511</c:v>
                </c:pt>
                <c:pt idx="92">
                  <c:v>0.1930738875296826</c:v>
                </c:pt>
                <c:pt idx="93">
                  <c:v>0.1849379888179174</c:v>
                </c:pt>
                <c:pt idx="94">
                  <c:v>0.17687105551632537</c:v>
                </c:pt>
                <c:pt idx="95">
                  <c:v>0.1660200644241577</c:v>
                </c:pt>
                <c:pt idx="96">
                  <c:v>0.16289257755377742</c:v>
                </c:pt>
                <c:pt idx="97">
                  <c:v>0.15028868171993456</c:v>
                </c:pt>
                <c:pt idx="98">
                  <c:v>0.13129403167925005</c:v>
                </c:pt>
                <c:pt idx="99">
                  <c:v>0.13623293221802271</c:v>
                </c:pt>
                <c:pt idx="100">
                  <c:v>0.1224607502548954</c:v>
                </c:pt>
                <c:pt idx="101">
                  <c:v>0.11685359008520491</c:v>
                </c:pt>
                <c:pt idx="102">
                  <c:v>9.9342594278285831E-2</c:v>
                </c:pt>
                <c:pt idx="103">
                  <c:v>8.5895937439003103E-2</c:v>
                </c:pt>
                <c:pt idx="104">
                  <c:v>8.8308894420702957E-2</c:v>
                </c:pt>
                <c:pt idx="105">
                  <c:v>8.549830504112306E-2</c:v>
                </c:pt>
                <c:pt idx="106">
                  <c:v>7.2637544008278626E-2</c:v>
                </c:pt>
                <c:pt idx="107">
                  <c:v>6.356751433030676E-2</c:v>
                </c:pt>
                <c:pt idx="108">
                  <c:v>6.0080939056728906E-2</c:v>
                </c:pt>
                <c:pt idx="109">
                  <c:v>4.1598451438772943E-2</c:v>
                </c:pt>
                <c:pt idx="110">
                  <c:v>3.5070061180514721E-2</c:v>
                </c:pt>
                <c:pt idx="111">
                  <c:v>3.6269256871424085E-2</c:v>
                </c:pt>
                <c:pt idx="112">
                  <c:v>3.2806434412198528E-2</c:v>
                </c:pt>
                <c:pt idx="113">
                  <c:v>2.4117574275554766E-2</c:v>
                </c:pt>
                <c:pt idx="114">
                  <c:v>1.9103823919955663E-2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39392"/>
        <c:axId val="49350144"/>
      </c:scatterChart>
      <c:valAx>
        <c:axId val="49339392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Log Pore Throat Radius (Microns)</a:t>
                </a:r>
              </a:p>
            </c:rich>
          </c:tx>
          <c:layout>
            <c:manualLayout>
              <c:xMode val="edge"/>
              <c:yMode val="edge"/>
              <c:x val="0.37010695397441207"/>
              <c:y val="0.940845879410746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49350144"/>
        <c:crosses val="autoZero"/>
        <c:crossBetween val="midCat"/>
      </c:valAx>
      <c:valAx>
        <c:axId val="49350144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d Sw / d LOG Pore Throat Rad.</a:t>
                </a:r>
              </a:p>
            </c:rich>
          </c:tx>
          <c:layout>
            <c:manualLayout>
              <c:xMode val="edge"/>
              <c:yMode val="edge"/>
              <c:x val="2.0606709152410356E-2"/>
              <c:y val="0.399264163377781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49339392"/>
        <c:crossesAt val="1.0000000000000041E-3"/>
        <c:crossBetween val="midCat"/>
        <c:majorUnit val="1"/>
        <c:min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accent5">
        <a:lumMod val="20000"/>
        <a:lumOff val="80000"/>
      </a:schemeClr>
    </a:solidFill>
    <a:ln>
      <a:solidFill>
        <a:sysClr val="windowText" lastClr="000000"/>
      </a:solidFill>
    </a:ln>
  </c:spPr>
  <c:txPr>
    <a:bodyPr/>
    <a:lstStyle/>
    <a:p>
      <a:pPr>
        <a:defRPr sz="900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966" r="0.75000000000000966" t="1" header="0.5" footer="0.5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0">
                <a:latin typeface="Arial"/>
              </a:rPr>
              <a:t>Normalized Pore Size Distribution VS Normalized Permeability</a:t>
            </a:r>
          </a:p>
        </c:rich>
      </c:tx>
      <c:layout>
        <c:manualLayout>
          <c:xMode val="edge"/>
          <c:yMode val="edge"/>
          <c:x val="0.2255588553160959"/>
          <c:y val="4.420790210588230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30384661626489"/>
          <c:y val="0.16126507112319541"/>
          <c:w val="0.81528794194843257"/>
          <c:h val="0.67664041994752322"/>
        </c:manualLayout>
      </c:layout>
      <c:scatterChart>
        <c:scatterStyle val="smoothMarker"/>
        <c:varyColors val="0"/>
        <c:ser>
          <c:idx val="0"/>
          <c:order val="0"/>
          <c:tx>
            <c:v>Normalized Pore Size Distribution</c:v>
          </c:tx>
          <c:spPr>
            <a:ln w="15875">
              <a:solidFill>
                <a:schemeClr val="dk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dk2">
                  <a:lumMod val="75000"/>
                </a:schemeClr>
              </a:solidFill>
              <a:ln>
                <a:solidFill>
                  <a:schemeClr val="dk2">
                    <a:lumMod val="75000"/>
                  </a:schemeClr>
                </a:solidFill>
              </a:ln>
            </c:spPr>
          </c:marker>
          <c:xVal>
            <c:numRef>
              <c:f>Table!$E$18:$E$135</c:f>
              <c:numCache>
                <c:formatCode>???0.000</c:formatCode>
                <c:ptCount val="118"/>
                <c:pt idx="0">
                  <c:v>60.104656176542989</c:v>
                </c:pt>
                <c:pt idx="1">
                  <c:v>57.365758944315388</c:v>
                </c:pt>
                <c:pt idx="2">
                  <c:v>50.350711136270903</c:v>
                </c:pt>
                <c:pt idx="3">
                  <c:v>45.280560930657195</c:v>
                </c:pt>
                <c:pt idx="4">
                  <c:v>42.123993193634711</c:v>
                </c:pt>
                <c:pt idx="5">
                  <c:v>38.582404466966551</c:v>
                </c:pt>
                <c:pt idx="6">
                  <c:v>35.396318395658398</c:v>
                </c:pt>
                <c:pt idx="7">
                  <c:v>32.396875199467857</c:v>
                </c:pt>
                <c:pt idx="8">
                  <c:v>29.697063648317201</c:v>
                </c:pt>
                <c:pt idx="9">
                  <c:v>27.196537866361037</c:v>
                </c:pt>
                <c:pt idx="10">
                  <c:v>24.802789026814047</c:v>
                </c:pt>
                <c:pt idx="11">
                  <c:v>22.658177614329009</c:v>
                </c:pt>
                <c:pt idx="12">
                  <c:v>20.703519790560577</c:v>
                </c:pt>
                <c:pt idx="13">
                  <c:v>18.961369535355804</c:v>
                </c:pt>
                <c:pt idx="14">
                  <c:v>17.369814518078805</c:v>
                </c:pt>
                <c:pt idx="15">
                  <c:v>15.893519003842709</c:v>
                </c:pt>
                <c:pt idx="16">
                  <c:v>14.534051313245987</c:v>
                </c:pt>
                <c:pt idx="17">
                  <c:v>13.284924603021636</c:v>
                </c:pt>
                <c:pt idx="18">
                  <c:v>12.148167363843282</c:v>
                </c:pt>
                <c:pt idx="19">
                  <c:v>11.107003337746461</c:v>
                </c:pt>
                <c:pt idx="20">
                  <c:v>10.150332040228813</c:v>
                </c:pt>
                <c:pt idx="21">
                  <c:v>9.2786064080497574</c:v>
                </c:pt>
                <c:pt idx="22">
                  <c:v>8.4974198623988091</c:v>
                </c:pt>
                <c:pt idx="23">
                  <c:v>7.7115829892910375</c:v>
                </c:pt>
                <c:pt idx="24">
                  <c:v>7.1147225400812015</c:v>
                </c:pt>
                <c:pt idx="25">
                  <c:v>6.4629299311085449</c:v>
                </c:pt>
                <c:pt idx="26">
                  <c:v>5.9241783101626542</c:v>
                </c:pt>
                <c:pt idx="27">
                  <c:v>5.4317224983932801</c:v>
                </c:pt>
                <c:pt idx="28">
                  <c:v>4.9626058029584676</c:v>
                </c:pt>
                <c:pt idx="29">
                  <c:v>4.5246475015936829</c:v>
                </c:pt>
                <c:pt idx="30">
                  <c:v>4.1365055899707999</c:v>
                </c:pt>
                <c:pt idx="31">
                  <c:v>3.7791206120437324</c:v>
                </c:pt>
                <c:pt idx="32">
                  <c:v>3.444462460622729</c:v>
                </c:pt>
                <c:pt idx="33">
                  <c:v>3.1606482343236615</c:v>
                </c:pt>
                <c:pt idx="34">
                  <c:v>2.6909017907173864</c:v>
                </c:pt>
                <c:pt idx="35">
                  <c:v>2.5545685146080994</c:v>
                </c:pt>
                <c:pt idx="36">
                  <c:v>2.2271155403244087</c:v>
                </c:pt>
                <c:pt idx="37">
                  <c:v>2.0725738648518721</c:v>
                </c:pt>
                <c:pt idx="38">
                  <c:v>1.8789544027770544</c:v>
                </c:pt>
                <c:pt idx="39">
                  <c:v>1.717793603914594</c:v>
                </c:pt>
                <c:pt idx="40">
                  <c:v>1.594552314138745</c:v>
                </c:pt>
                <c:pt idx="41">
                  <c:v>1.4270910724041954</c:v>
                </c:pt>
                <c:pt idx="42">
                  <c:v>1.3114330604283893</c:v>
                </c:pt>
                <c:pt idx="43">
                  <c:v>1.1934748633736361</c:v>
                </c:pt>
                <c:pt idx="44">
                  <c:v>1.0905306429497332</c:v>
                </c:pt>
                <c:pt idx="45">
                  <c:v>0.99005417179147548</c:v>
                </c:pt>
                <c:pt idx="46">
                  <c:v>0.91076186700567585</c:v>
                </c:pt>
                <c:pt idx="47">
                  <c:v>0.82934755640053726</c:v>
                </c:pt>
                <c:pt idx="48">
                  <c:v>0.76004161236628853</c:v>
                </c:pt>
                <c:pt idx="49">
                  <c:v>0.69377815389207875</c:v>
                </c:pt>
                <c:pt idx="50">
                  <c:v>0.63608074583386398</c:v>
                </c:pt>
                <c:pt idx="51">
                  <c:v>0.57939274215617564</c:v>
                </c:pt>
                <c:pt idx="52">
                  <c:v>0.5285253634077216</c:v>
                </c:pt>
                <c:pt idx="53">
                  <c:v>0.48479552271042098</c:v>
                </c:pt>
                <c:pt idx="54">
                  <c:v>0.44113982712237804</c:v>
                </c:pt>
                <c:pt idx="55">
                  <c:v>0.40324627153190395</c:v>
                </c:pt>
                <c:pt idx="56">
                  <c:v>0.36757222839471099</c:v>
                </c:pt>
                <c:pt idx="57">
                  <c:v>0.33666289173031094</c:v>
                </c:pt>
                <c:pt idx="58">
                  <c:v>0.30755442385552573</c:v>
                </c:pt>
                <c:pt idx="59">
                  <c:v>0.28024503705789444</c:v>
                </c:pt>
                <c:pt idx="60">
                  <c:v>0.25640283455839774</c:v>
                </c:pt>
                <c:pt idx="61">
                  <c:v>0.23426638323775353</c:v>
                </c:pt>
                <c:pt idx="62">
                  <c:v>0.21453056050096897</c:v>
                </c:pt>
                <c:pt idx="63">
                  <c:v>0.19549932175457074</c:v>
                </c:pt>
                <c:pt idx="64">
                  <c:v>0.17887097376118857</c:v>
                </c:pt>
                <c:pt idx="65">
                  <c:v>0.16317025622319284</c:v>
                </c:pt>
                <c:pt idx="66">
                  <c:v>0.14956147417523516</c:v>
                </c:pt>
                <c:pt idx="67">
                  <c:v>0.13642838471606991</c:v>
                </c:pt>
                <c:pt idx="68">
                  <c:v>0.12488877908052905</c:v>
                </c:pt>
                <c:pt idx="69">
                  <c:v>0.11400455698676371</c:v>
                </c:pt>
                <c:pt idx="70">
                  <c:v>0.10415594049190467</c:v>
                </c:pt>
                <c:pt idx="71">
                  <c:v>9.5136980287019224E-2</c:v>
                </c:pt>
                <c:pt idx="72">
                  <c:v>8.7289430962345538E-2</c:v>
                </c:pt>
                <c:pt idx="73">
                  <c:v>7.984326282459768E-2</c:v>
                </c:pt>
                <c:pt idx="74">
                  <c:v>7.2825780566691756E-2</c:v>
                </c:pt>
                <c:pt idx="75">
                  <c:v>6.6504558313179696E-2</c:v>
                </c:pt>
                <c:pt idx="76">
                  <c:v>6.0782127350697844E-2</c:v>
                </c:pt>
                <c:pt idx="77">
                  <c:v>5.562583028801326E-2</c:v>
                </c:pt>
                <c:pt idx="78">
                  <c:v>5.0719086482593205E-2</c:v>
                </c:pt>
                <c:pt idx="79">
                  <c:v>4.6321092401993197E-2</c:v>
                </c:pt>
                <c:pt idx="80">
                  <c:v>4.2484804792804851E-2</c:v>
                </c:pt>
                <c:pt idx="81">
                  <c:v>3.8676151341720096E-2</c:v>
                </c:pt>
                <c:pt idx="82">
                  <c:v>3.5445843597256714E-2</c:v>
                </c:pt>
                <c:pt idx="83">
                  <c:v>3.2402763609285679E-2</c:v>
                </c:pt>
                <c:pt idx="84">
                  <c:v>2.9562547827710839E-2</c:v>
                </c:pt>
                <c:pt idx="85">
                  <c:v>2.7061879812358046E-2</c:v>
                </c:pt>
                <c:pt idx="86">
                  <c:v>2.4719166673993417E-2</c:v>
                </c:pt>
                <c:pt idx="87">
                  <c:v>2.2581926977390303E-2</c:v>
                </c:pt>
                <c:pt idx="88">
                  <c:v>2.0677465099409455E-2</c:v>
                </c:pt>
                <c:pt idx="89">
                  <c:v>1.8917856728021116E-2</c:v>
                </c:pt>
                <c:pt idx="90">
                  <c:v>1.7277179940126366E-2</c:v>
                </c:pt>
                <c:pt idx="91">
                  <c:v>1.5793749632259824E-2</c:v>
                </c:pt>
                <c:pt idx="92">
                  <c:v>1.4426751947676002E-2</c:v>
                </c:pt>
                <c:pt idx="93">
                  <c:v>1.3202766138386392E-2</c:v>
                </c:pt>
                <c:pt idx="94">
                  <c:v>1.2054932910582671E-2</c:v>
                </c:pt>
                <c:pt idx="95">
                  <c:v>1.1023513036744006E-2</c:v>
                </c:pt>
                <c:pt idx="96">
                  <c:v>1.0082175166652829E-2</c:v>
                </c:pt>
                <c:pt idx="97">
                  <c:v>9.2091449446707902E-3</c:v>
                </c:pt>
                <c:pt idx="98">
                  <c:v>8.4204160101876459E-3</c:v>
                </c:pt>
                <c:pt idx="99">
                  <c:v>7.7067508017006807E-3</c:v>
                </c:pt>
                <c:pt idx="100">
                  <c:v>7.0545941479684543E-3</c:v>
                </c:pt>
                <c:pt idx="101">
                  <c:v>6.4132831397421784E-3</c:v>
                </c:pt>
                <c:pt idx="102">
                  <c:v>5.8777651127116318E-3</c:v>
                </c:pt>
                <c:pt idx="103">
                  <c:v>5.361993878074592E-3</c:v>
                </c:pt>
                <c:pt idx="104">
                  <c:v>4.9037717300972981E-3</c:v>
                </c:pt>
                <c:pt idx="105">
                  <c:v>4.4958930820524576E-3</c:v>
                </c:pt>
                <c:pt idx="106">
                  <c:v>4.111243603546629E-3</c:v>
                </c:pt>
                <c:pt idx="107">
                  <c:v>3.7572678416271832E-3</c:v>
                </c:pt>
                <c:pt idx="108">
                  <c:v>3.4335093830999701E-3</c:v>
                </c:pt>
                <c:pt idx="109">
                  <c:v>3.1287136299109211E-3</c:v>
                </c:pt>
                <c:pt idx="110">
                  <c:v>2.8645441653023323E-3</c:v>
                </c:pt>
                <c:pt idx="111">
                  <c:v>2.6191461332100243E-3</c:v>
                </c:pt>
                <c:pt idx="112">
                  <c:v>2.3947144384001925E-3</c:v>
                </c:pt>
                <c:pt idx="113">
                  <c:v>2.1890619985139989E-3</c:v>
                </c:pt>
                <c:pt idx="114">
                  <c:v>2.0025222873809733E-3</c:v>
                </c:pt>
                <c:pt idx="115">
                  <c:v>1.8305135307821903E-3</c:v>
                </c:pt>
                <c:pt idx="116">
                  <c:v>1.673525075157104E-3</c:v>
                </c:pt>
                <c:pt idx="117">
                  <c:v>1.5413150011841902E-3</c:v>
                </c:pt>
              </c:numCache>
            </c:numRef>
          </c:xVal>
          <c:yVal>
            <c:numRef>
              <c:f>Table!$S$18:$S$135</c:f>
              <c:numCache>
                <c:formatCode>????0.000</c:formatCode>
                <c:ptCount val="1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1.5060240963855418E-3</c:v>
                </c:pt>
                <c:pt idx="40">
                  <c:v>2.2590361445783127E-3</c:v>
                </c:pt>
                <c:pt idx="41">
                  <c:v>3.7650602409638545E-3</c:v>
                </c:pt>
                <c:pt idx="42">
                  <c:v>3.7650602409638541E-3</c:v>
                </c:pt>
                <c:pt idx="43">
                  <c:v>1.2048192771084335E-2</c:v>
                </c:pt>
                <c:pt idx="44">
                  <c:v>1.0542168674698793E-2</c:v>
                </c:pt>
                <c:pt idx="45">
                  <c:v>3.2379518072289157E-2</c:v>
                </c:pt>
                <c:pt idx="46">
                  <c:v>4.0662650602409638E-2</c:v>
                </c:pt>
                <c:pt idx="47">
                  <c:v>7.6054216867469826E-2</c:v>
                </c:pt>
                <c:pt idx="48">
                  <c:v>0.13102409638554216</c:v>
                </c:pt>
                <c:pt idx="49">
                  <c:v>0.25602409638554213</c:v>
                </c:pt>
                <c:pt idx="50">
                  <c:v>0.52183734939759019</c:v>
                </c:pt>
                <c:pt idx="51">
                  <c:v>0.82304216867469882</c:v>
                </c:pt>
                <c:pt idx="52">
                  <c:v>1</c:v>
                </c:pt>
                <c:pt idx="53">
                  <c:v>0.9894578313253003</c:v>
                </c:pt>
                <c:pt idx="54">
                  <c:v>0.67771084337349452</c:v>
                </c:pt>
                <c:pt idx="55">
                  <c:v>0.32153614457831287</c:v>
                </c:pt>
                <c:pt idx="56">
                  <c:v>0.26280120481927738</c:v>
                </c:pt>
                <c:pt idx="57">
                  <c:v>0.21837349397590286</c:v>
                </c:pt>
                <c:pt idx="58">
                  <c:v>0.21310240963855409</c:v>
                </c:pt>
                <c:pt idx="59">
                  <c:v>0.19503012048192836</c:v>
                </c:pt>
                <c:pt idx="60">
                  <c:v>0.18825301204819309</c:v>
                </c:pt>
                <c:pt idx="61">
                  <c:v>0.18975903614457773</c:v>
                </c:pt>
                <c:pt idx="62">
                  <c:v>0.18750000000000075</c:v>
                </c:pt>
                <c:pt idx="63">
                  <c:v>0.18298192771084307</c:v>
                </c:pt>
                <c:pt idx="64">
                  <c:v>0.17921686746987897</c:v>
                </c:pt>
                <c:pt idx="65">
                  <c:v>0.18298192771084307</c:v>
                </c:pt>
                <c:pt idx="66">
                  <c:v>0.16942771084337377</c:v>
                </c:pt>
                <c:pt idx="67">
                  <c:v>0.17695783132530074</c:v>
                </c:pt>
                <c:pt idx="68">
                  <c:v>0.16716867469879557</c:v>
                </c:pt>
                <c:pt idx="69">
                  <c:v>0.16867469879518146</c:v>
                </c:pt>
                <c:pt idx="70">
                  <c:v>0.15813253012048145</c:v>
                </c:pt>
                <c:pt idx="71">
                  <c:v>0.15436746987951733</c:v>
                </c:pt>
                <c:pt idx="72">
                  <c:v>0.14683734939759036</c:v>
                </c:pt>
                <c:pt idx="73">
                  <c:v>0.1483433734939775</c:v>
                </c:pt>
                <c:pt idx="74">
                  <c:v>0.14382530120481732</c:v>
                </c:pt>
                <c:pt idx="75">
                  <c:v>0.14006024096385569</c:v>
                </c:pt>
                <c:pt idx="76">
                  <c:v>0.1347891566265057</c:v>
                </c:pt>
                <c:pt idx="77">
                  <c:v>0.12876506024096462</c:v>
                </c:pt>
                <c:pt idx="78">
                  <c:v>0.13102409638554158</c:v>
                </c:pt>
                <c:pt idx="79">
                  <c:v>0.11445783132530174</c:v>
                </c:pt>
                <c:pt idx="80">
                  <c:v>0.11295180722891461</c:v>
                </c:pt>
                <c:pt idx="81">
                  <c:v>0.11972891566265174</c:v>
                </c:pt>
                <c:pt idx="82">
                  <c:v>0.10768072289156584</c:v>
                </c:pt>
                <c:pt idx="83">
                  <c:v>0.10617469879517995</c:v>
                </c:pt>
                <c:pt idx="84">
                  <c:v>0.10993975903614656</c:v>
                </c:pt>
                <c:pt idx="85">
                  <c:v>0.10316265060240816</c:v>
                </c:pt>
                <c:pt idx="86">
                  <c:v>0.10240963855421709</c:v>
                </c:pt>
                <c:pt idx="87">
                  <c:v>9.3373493975902971E-2</c:v>
                </c:pt>
                <c:pt idx="88">
                  <c:v>9.4879518072291349E-2</c:v>
                </c:pt>
                <c:pt idx="89">
                  <c:v>9.4879518072287616E-2</c:v>
                </c:pt>
                <c:pt idx="90">
                  <c:v>8.8102409638555451E-2</c:v>
                </c:pt>
                <c:pt idx="91">
                  <c:v>9.0361445783132432E-2</c:v>
                </c:pt>
                <c:pt idx="92">
                  <c:v>8.5090361445782428E-2</c:v>
                </c:pt>
                <c:pt idx="93">
                  <c:v>7.9819277108432424E-2</c:v>
                </c:pt>
                <c:pt idx="94">
                  <c:v>7.8313253012050263E-2</c:v>
                </c:pt>
                <c:pt idx="95">
                  <c:v>7.2289156626504203E-2</c:v>
                </c:pt>
                <c:pt idx="96">
                  <c:v>7.0783132530120793E-2</c:v>
                </c:pt>
                <c:pt idx="97">
                  <c:v>6.6265060240963125E-2</c:v>
                </c:pt>
                <c:pt idx="98">
                  <c:v>5.7228915662651494E-2</c:v>
                </c:pt>
                <c:pt idx="99">
                  <c:v>5.8734939759036139E-2</c:v>
                </c:pt>
                <c:pt idx="100">
                  <c:v>5.2710843373493813E-2</c:v>
                </c:pt>
                <c:pt idx="101">
                  <c:v>5.4216867469879707E-2</c:v>
                </c:pt>
                <c:pt idx="102">
                  <c:v>4.2168674698796295E-2</c:v>
                </c:pt>
                <c:pt idx="103">
                  <c:v>3.8403614457829693E-2</c:v>
                </c:pt>
                <c:pt idx="104">
                  <c:v>3.8403614457832184E-2</c:v>
                </c:pt>
                <c:pt idx="105">
                  <c:v>3.6144578313252726E-2</c:v>
                </c:pt>
                <c:pt idx="106">
                  <c:v>3.1626506024096286E-2</c:v>
                </c:pt>
                <c:pt idx="107">
                  <c:v>2.7861445783132179E-2</c:v>
                </c:pt>
                <c:pt idx="108">
                  <c:v>2.6355421686747531E-2</c:v>
                </c:pt>
                <c:pt idx="109">
                  <c:v>1.882530120481931E-2</c:v>
                </c:pt>
                <c:pt idx="110">
                  <c:v>1.5060240963855198E-2</c:v>
                </c:pt>
                <c:pt idx="111">
                  <c:v>1.5813253012047522E-2</c:v>
                </c:pt>
                <c:pt idx="112">
                  <c:v>1.4307228915662874E-2</c:v>
                </c:pt>
                <c:pt idx="113">
                  <c:v>1.0542168674700007E-2</c:v>
                </c:pt>
                <c:pt idx="114">
                  <c:v>8.2831325301193012E-3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Normalized Permeability</c:v>
          </c:tx>
          <c:marker>
            <c:symbol val="circle"/>
            <c:size val="5"/>
          </c:marker>
          <c:xVal>
            <c:numRef>
              <c:f>Table!$E$18:$E$135</c:f>
              <c:numCache>
                <c:formatCode>???0.000</c:formatCode>
                <c:ptCount val="118"/>
                <c:pt idx="0">
                  <c:v>60.104656176542989</c:v>
                </c:pt>
                <c:pt idx="1">
                  <c:v>57.365758944315388</c:v>
                </c:pt>
                <c:pt idx="2">
                  <c:v>50.350711136270903</c:v>
                </c:pt>
                <c:pt idx="3">
                  <c:v>45.280560930657195</c:v>
                </c:pt>
                <c:pt idx="4">
                  <c:v>42.123993193634711</c:v>
                </c:pt>
                <c:pt idx="5">
                  <c:v>38.582404466966551</c:v>
                </c:pt>
                <c:pt idx="6">
                  <c:v>35.396318395658398</c:v>
                </c:pt>
                <c:pt idx="7">
                  <c:v>32.396875199467857</c:v>
                </c:pt>
                <c:pt idx="8">
                  <c:v>29.697063648317201</c:v>
                </c:pt>
                <c:pt idx="9">
                  <c:v>27.196537866361037</c:v>
                </c:pt>
                <c:pt idx="10">
                  <c:v>24.802789026814047</c:v>
                </c:pt>
                <c:pt idx="11">
                  <c:v>22.658177614329009</c:v>
                </c:pt>
                <c:pt idx="12">
                  <c:v>20.703519790560577</c:v>
                </c:pt>
                <c:pt idx="13">
                  <c:v>18.961369535355804</c:v>
                </c:pt>
                <c:pt idx="14">
                  <c:v>17.369814518078805</c:v>
                </c:pt>
                <c:pt idx="15">
                  <c:v>15.893519003842709</c:v>
                </c:pt>
                <c:pt idx="16">
                  <c:v>14.534051313245987</c:v>
                </c:pt>
                <c:pt idx="17">
                  <c:v>13.284924603021636</c:v>
                </c:pt>
                <c:pt idx="18">
                  <c:v>12.148167363843282</c:v>
                </c:pt>
                <c:pt idx="19">
                  <c:v>11.107003337746461</c:v>
                </c:pt>
                <c:pt idx="20">
                  <c:v>10.150332040228813</c:v>
                </c:pt>
                <c:pt idx="21">
                  <c:v>9.2786064080497574</c:v>
                </c:pt>
                <c:pt idx="22">
                  <c:v>8.4974198623988091</c:v>
                </c:pt>
                <c:pt idx="23">
                  <c:v>7.7115829892910375</c:v>
                </c:pt>
                <c:pt idx="24">
                  <c:v>7.1147225400812015</c:v>
                </c:pt>
                <c:pt idx="25">
                  <c:v>6.4629299311085449</c:v>
                </c:pt>
                <c:pt idx="26">
                  <c:v>5.9241783101626542</c:v>
                </c:pt>
                <c:pt idx="27">
                  <c:v>5.4317224983932801</c:v>
                </c:pt>
                <c:pt idx="28">
                  <c:v>4.9626058029584676</c:v>
                </c:pt>
                <c:pt idx="29">
                  <c:v>4.5246475015936829</c:v>
                </c:pt>
                <c:pt idx="30">
                  <c:v>4.1365055899707999</c:v>
                </c:pt>
                <c:pt idx="31">
                  <c:v>3.7791206120437324</c:v>
                </c:pt>
                <c:pt idx="32">
                  <c:v>3.444462460622729</c:v>
                </c:pt>
                <c:pt idx="33">
                  <c:v>3.1606482343236615</c:v>
                </c:pt>
                <c:pt idx="34">
                  <c:v>2.6909017907173864</c:v>
                </c:pt>
                <c:pt idx="35">
                  <c:v>2.5545685146080994</c:v>
                </c:pt>
                <c:pt idx="36">
                  <c:v>2.2271155403244087</c:v>
                </c:pt>
                <c:pt idx="37">
                  <c:v>2.0725738648518721</c:v>
                </c:pt>
                <c:pt idx="38">
                  <c:v>1.8789544027770544</c:v>
                </c:pt>
                <c:pt idx="39">
                  <c:v>1.717793603914594</c:v>
                </c:pt>
                <c:pt idx="40">
                  <c:v>1.594552314138745</c:v>
                </c:pt>
                <c:pt idx="41">
                  <c:v>1.4270910724041954</c:v>
                </c:pt>
                <c:pt idx="42">
                  <c:v>1.3114330604283893</c:v>
                </c:pt>
                <c:pt idx="43">
                  <c:v>1.1934748633736361</c:v>
                </c:pt>
                <c:pt idx="44">
                  <c:v>1.0905306429497332</c:v>
                </c:pt>
                <c:pt idx="45">
                  <c:v>0.99005417179147548</c:v>
                </c:pt>
                <c:pt idx="46">
                  <c:v>0.91076186700567585</c:v>
                </c:pt>
                <c:pt idx="47">
                  <c:v>0.82934755640053726</c:v>
                </c:pt>
                <c:pt idx="48">
                  <c:v>0.76004161236628853</c:v>
                </c:pt>
                <c:pt idx="49">
                  <c:v>0.69377815389207875</c:v>
                </c:pt>
                <c:pt idx="50">
                  <c:v>0.63608074583386398</c:v>
                </c:pt>
                <c:pt idx="51">
                  <c:v>0.57939274215617564</c:v>
                </c:pt>
                <c:pt idx="52">
                  <c:v>0.5285253634077216</c:v>
                </c:pt>
                <c:pt idx="53">
                  <c:v>0.48479552271042098</c:v>
                </c:pt>
                <c:pt idx="54">
                  <c:v>0.44113982712237804</c:v>
                </c:pt>
                <c:pt idx="55">
                  <c:v>0.40324627153190395</c:v>
                </c:pt>
                <c:pt idx="56">
                  <c:v>0.36757222839471099</c:v>
                </c:pt>
                <c:pt idx="57">
                  <c:v>0.33666289173031094</c:v>
                </c:pt>
                <c:pt idx="58">
                  <c:v>0.30755442385552573</c:v>
                </c:pt>
                <c:pt idx="59">
                  <c:v>0.28024503705789444</c:v>
                </c:pt>
                <c:pt idx="60">
                  <c:v>0.25640283455839774</c:v>
                </c:pt>
                <c:pt idx="61">
                  <c:v>0.23426638323775353</c:v>
                </c:pt>
                <c:pt idx="62">
                  <c:v>0.21453056050096897</c:v>
                </c:pt>
                <c:pt idx="63">
                  <c:v>0.19549932175457074</c:v>
                </c:pt>
                <c:pt idx="64">
                  <c:v>0.17887097376118857</c:v>
                </c:pt>
                <c:pt idx="65">
                  <c:v>0.16317025622319284</c:v>
                </c:pt>
                <c:pt idx="66">
                  <c:v>0.14956147417523516</c:v>
                </c:pt>
                <c:pt idx="67">
                  <c:v>0.13642838471606991</c:v>
                </c:pt>
                <c:pt idx="68">
                  <c:v>0.12488877908052905</c:v>
                </c:pt>
                <c:pt idx="69">
                  <c:v>0.11400455698676371</c:v>
                </c:pt>
                <c:pt idx="70">
                  <c:v>0.10415594049190467</c:v>
                </c:pt>
                <c:pt idx="71">
                  <c:v>9.5136980287019224E-2</c:v>
                </c:pt>
                <c:pt idx="72">
                  <c:v>8.7289430962345538E-2</c:v>
                </c:pt>
                <c:pt idx="73">
                  <c:v>7.984326282459768E-2</c:v>
                </c:pt>
                <c:pt idx="74">
                  <c:v>7.2825780566691756E-2</c:v>
                </c:pt>
                <c:pt idx="75">
                  <c:v>6.6504558313179696E-2</c:v>
                </c:pt>
                <c:pt idx="76">
                  <c:v>6.0782127350697844E-2</c:v>
                </c:pt>
                <c:pt idx="77">
                  <c:v>5.562583028801326E-2</c:v>
                </c:pt>
                <c:pt idx="78">
                  <c:v>5.0719086482593205E-2</c:v>
                </c:pt>
                <c:pt idx="79">
                  <c:v>4.6321092401993197E-2</c:v>
                </c:pt>
                <c:pt idx="80">
                  <c:v>4.2484804792804851E-2</c:v>
                </c:pt>
                <c:pt idx="81">
                  <c:v>3.8676151341720096E-2</c:v>
                </c:pt>
                <c:pt idx="82">
                  <c:v>3.5445843597256714E-2</c:v>
                </c:pt>
                <c:pt idx="83">
                  <c:v>3.2402763609285679E-2</c:v>
                </c:pt>
                <c:pt idx="84">
                  <c:v>2.9562547827710839E-2</c:v>
                </c:pt>
                <c:pt idx="85">
                  <c:v>2.7061879812358046E-2</c:v>
                </c:pt>
                <c:pt idx="86">
                  <c:v>2.4719166673993417E-2</c:v>
                </c:pt>
                <c:pt idx="87">
                  <c:v>2.2581926977390303E-2</c:v>
                </c:pt>
                <c:pt idx="88">
                  <c:v>2.0677465099409455E-2</c:v>
                </c:pt>
                <c:pt idx="89">
                  <c:v>1.8917856728021116E-2</c:v>
                </c:pt>
                <c:pt idx="90">
                  <c:v>1.7277179940126366E-2</c:v>
                </c:pt>
                <c:pt idx="91">
                  <c:v>1.5793749632259824E-2</c:v>
                </c:pt>
                <c:pt idx="92">
                  <c:v>1.4426751947676002E-2</c:v>
                </c:pt>
                <c:pt idx="93">
                  <c:v>1.3202766138386392E-2</c:v>
                </c:pt>
                <c:pt idx="94">
                  <c:v>1.2054932910582671E-2</c:v>
                </c:pt>
                <c:pt idx="95">
                  <c:v>1.1023513036744006E-2</c:v>
                </c:pt>
                <c:pt idx="96">
                  <c:v>1.0082175166652829E-2</c:v>
                </c:pt>
                <c:pt idx="97">
                  <c:v>9.2091449446707902E-3</c:v>
                </c:pt>
                <c:pt idx="98">
                  <c:v>8.4204160101876459E-3</c:v>
                </c:pt>
                <c:pt idx="99">
                  <c:v>7.7067508017006807E-3</c:v>
                </c:pt>
                <c:pt idx="100">
                  <c:v>7.0545941479684543E-3</c:v>
                </c:pt>
                <c:pt idx="101">
                  <c:v>6.4132831397421784E-3</c:v>
                </c:pt>
                <c:pt idx="102">
                  <c:v>5.8777651127116318E-3</c:v>
                </c:pt>
                <c:pt idx="103">
                  <c:v>5.361993878074592E-3</c:v>
                </c:pt>
                <c:pt idx="104">
                  <c:v>4.9037717300972981E-3</c:v>
                </c:pt>
                <c:pt idx="105">
                  <c:v>4.4958930820524576E-3</c:v>
                </c:pt>
                <c:pt idx="106">
                  <c:v>4.111243603546629E-3</c:v>
                </c:pt>
                <c:pt idx="107">
                  <c:v>3.7572678416271832E-3</c:v>
                </c:pt>
                <c:pt idx="108">
                  <c:v>3.4335093830999701E-3</c:v>
                </c:pt>
                <c:pt idx="109">
                  <c:v>3.1287136299109211E-3</c:v>
                </c:pt>
                <c:pt idx="110">
                  <c:v>2.8645441653023323E-3</c:v>
                </c:pt>
                <c:pt idx="111">
                  <c:v>2.6191461332100243E-3</c:v>
                </c:pt>
                <c:pt idx="112">
                  <c:v>2.3947144384001925E-3</c:v>
                </c:pt>
                <c:pt idx="113">
                  <c:v>2.1890619985139989E-3</c:v>
                </c:pt>
                <c:pt idx="114">
                  <c:v>2.0025222873809733E-3</c:v>
                </c:pt>
                <c:pt idx="115">
                  <c:v>1.8305135307821903E-3</c:v>
                </c:pt>
                <c:pt idx="116">
                  <c:v>1.673525075157104E-3</c:v>
                </c:pt>
                <c:pt idx="117">
                  <c:v>1.5413150011841902E-3</c:v>
                </c:pt>
              </c:numCache>
            </c:numRef>
          </c:xVal>
          <c:yVal>
            <c:numRef>
              <c:f>Table!$T$18:$T$135</c:f>
              <c:numCache>
                <c:formatCode>????0.000</c:formatCode>
                <c:ptCount val="1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0.99741628536686655</c:v>
                </c:pt>
                <c:pt idx="40">
                  <c:v>0.99407686273919382</c:v>
                </c:pt>
                <c:pt idx="41">
                  <c:v>0.98961880212124154</c:v>
                </c:pt>
                <c:pt idx="42">
                  <c:v>0.98585406335193881</c:v>
                </c:pt>
                <c:pt idx="43">
                  <c:v>0.97587662341407855</c:v>
                </c:pt>
                <c:pt idx="44">
                  <c:v>0.96858748211634538</c:v>
                </c:pt>
                <c:pt idx="45">
                  <c:v>0.95013482302542773</c:v>
                </c:pt>
                <c:pt idx="46">
                  <c:v>0.93052489391215287</c:v>
                </c:pt>
                <c:pt idx="47">
                  <c:v>0.90011134508336244</c:v>
                </c:pt>
                <c:pt idx="48">
                  <c:v>0.85610689723131306</c:v>
                </c:pt>
                <c:pt idx="49">
                  <c:v>0.78446076597356029</c:v>
                </c:pt>
                <c:pt idx="50">
                  <c:v>0.66170827312330738</c:v>
                </c:pt>
                <c:pt idx="51">
                  <c:v>0.50107376425508665</c:v>
                </c:pt>
                <c:pt idx="52">
                  <c:v>0.33866766754736799</c:v>
                </c:pt>
                <c:pt idx="53">
                  <c:v>0.20346503361678703</c:v>
                </c:pt>
                <c:pt idx="54">
                  <c:v>0.12678758859091233</c:v>
                </c:pt>
                <c:pt idx="55">
                  <c:v>9.6389856528691031E-2</c:v>
                </c:pt>
                <c:pt idx="56">
                  <c:v>7.5746353472318506E-2</c:v>
                </c:pt>
                <c:pt idx="57">
                  <c:v>6.1356343884593656E-2</c:v>
                </c:pt>
                <c:pt idx="58">
                  <c:v>4.9637008620464274E-2</c:v>
                </c:pt>
                <c:pt idx="59">
                  <c:v>4.0731715659517831E-2</c:v>
                </c:pt>
                <c:pt idx="60">
                  <c:v>3.3536261027030001E-2</c:v>
                </c:pt>
                <c:pt idx="61">
                  <c:v>2.7481554848257983E-2</c:v>
                </c:pt>
                <c:pt idx="62">
                  <c:v>2.2464483600585949E-2</c:v>
                </c:pt>
                <c:pt idx="63">
                  <c:v>1.8398464914214152E-2</c:v>
                </c:pt>
                <c:pt idx="64">
                  <c:v>1.5064743642980827E-2</c:v>
                </c:pt>
                <c:pt idx="65">
                  <c:v>1.2232302780593729E-2</c:v>
                </c:pt>
                <c:pt idx="66">
                  <c:v>1.0028896520177688E-2</c:v>
                </c:pt>
                <c:pt idx="67">
                  <c:v>8.1139796589306812E-3</c:v>
                </c:pt>
                <c:pt idx="68">
                  <c:v>6.5980732087974614E-3</c:v>
                </c:pt>
                <c:pt idx="69">
                  <c:v>5.3234992898604228E-3</c:v>
                </c:pt>
                <c:pt idx="70">
                  <c:v>4.3261208615974489E-3</c:v>
                </c:pt>
                <c:pt idx="71">
                  <c:v>3.5138045528384509E-3</c:v>
                </c:pt>
                <c:pt idx="72">
                  <c:v>2.8633296834247313E-3</c:v>
                </c:pt>
                <c:pt idx="73">
                  <c:v>2.3135162264873443E-3</c:v>
                </c:pt>
                <c:pt idx="74">
                  <c:v>1.8700339683567213E-3</c:v>
                </c:pt>
                <c:pt idx="75">
                  <c:v>1.5098798729012985E-3</c:v>
                </c:pt>
                <c:pt idx="76">
                  <c:v>1.2203606463995209E-3</c:v>
                </c:pt>
                <c:pt idx="77">
                  <c:v>9.8871629748431555E-4</c:v>
                </c:pt>
                <c:pt idx="78">
                  <c:v>7.9275753854768372E-4</c:v>
                </c:pt>
                <c:pt idx="79">
                  <c:v>6.4997544013811748E-4</c:v>
                </c:pt>
                <c:pt idx="80">
                  <c:v>5.3144467173360521E-4</c:v>
                </c:pt>
                <c:pt idx="81">
                  <c:v>4.2731938440809802E-4</c:v>
                </c:pt>
                <c:pt idx="82">
                  <c:v>3.4866204401584611E-4</c:v>
                </c:pt>
                <c:pt idx="83">
                  <c:v>2.8384998718866683E-4</c:v>
                </c:pt>
                <c:pt idx="84">
                  <c:v>2.2798892831166206E-4</c:v>
                </c:pt>
                <c:pt idx="85">
                  <c:v>1.8406420084959851E-4</c:v>
                </c:pt>
                <c:pt idx="86">
                  <c:v>1.4768282268273758E-4</c:v>
                </c:pt>
                <c:pt idx="87">
                  <c:v>1.1999962403608233E-4</c:v>
                </c:pt>
                <c:pt idx="88">
                  <c:v>9.6414523893750825E-5</c:v>
                </c:pt>
                <c:pt idx="89">
                  <c:v>7.6672712622793959E-5</c:v>
                </c:pt>
                <c:pt idx="90">
                  <c:v>6.1382829659839544E-5</c:v>
                </c:pt>
                <c:pt idx="91">
                  <c:v>4.8278212712360435E-5</c:v>
                </c:pt>
                <c:pt idx="92">
                  <c:v>3.7981747434412405E-5</c:v>
                </c:pt>
                <c:pt idx="93">
                  <c:v>2.9892496399952506E-5</c:v>
                </c:pt>
                <c:pt idx="94">
                  <c:v>2.3275886638418619E-5</c:v>
                </c:pt>
                <c:pt idx="95">
                  <c:v>1.816867494530694E-5</c:v>
                </c:pt>
                <c:pt idx="96">
                  <c:v>1.3985472167132862E-5</c:v>
                </c:pt>
                <c:pt idx="97">
                  <c:v>1.0718135582288291E-5</c:v>
                </c:pt>
                <c:pt idx="98">
                  <c:v>8.3589979660292357E-6</c:v>
                </c:pt>
                <c:pt idx="99">
                  <c:v>6.3308024335073654E-6</c:v>
                </c:pt>
                <c:pt idx="100">
                  <c:v>4.8056449356570496E-6</c:v>
                </c:pt>
                <c:pt idx="101">
                  <c:v>3.5091646688467648E-6</c:v>
                </c:pt>
                <c:pt idx="102">
                  <c:v>2.6621614375166303E-6</c:v>
                </c:pt>
                <c:pt idx="103">
                  <c:v>2.0202200298191642E-6</c:v>
                </c:pt>
                <c:pt idx="104">
                  <c:v>1.4833078526566013E-6</c:v>
                </c:pt>
                <c:pt idx="105">
                  <c:v>1.0585457391742992E-6</c:v>
                </c:pt>
                <c:pt idx="106">
                  <c:v>7.4775483593914061E-7</c:v>
                </c:pt>
                <c:pt idx="107">
                  <c:v>5.1907987075328066E-7</c:v>
                </c:pt>
                <c:pt idx="108">
                  <c:v>3.384385466320694E-7</c:v>
                </c:pt>
                <c:pt idx="109">
                  <c:v>2.3130037674068404E-7</c:v>
                </c:pt>
                <c:pt idx="110">
                  <c:v>1.5945255149585336E-7</c:v>
                </c:pt>
                <c:pt idx="111">
                  <c:v>9.6384220049650082E-8</c:v>
                </c:pt>
                <c:pt idx="112">
                  <c:v>4.8682542441724763E-8</c:v>
                </c:pt>
                <c:pt idx="113">
                  <c:v>1.9311676924260723E-8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91872"/>
        <c:axId val="49676672"/>
      </c:scatterChart>
      <c:valAx>
        <c:axId val="49391872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Pore Throat Radius (microns)</a:t>
                </a:r>
              </a:p>
            </c:rich>
          </c:tx>
          <c:layout>
            <c:manualLayout>
              <c:xMode val="edge"/>
              <c:yMode val="edge"/>
              <c:x val="0.37003231262758834"/>
              <c:y val="0.925774602248809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49676672"/>
        <c:crosses val="autoZero"/>
        <c:crossBetween val="midCat"/>
      </c:valAx>
      <c:valAx>
        <c:axId val="49676672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Distribution Function</a:t>
                </a:r>
              </a:p>
            </c:rich>
          </c:tx>
          <c:layout>
            <c:manualLayout>
              <c:xMode val="edge"/>
              <c:yMode val="edge"/>
              <c:x val="1.753793951647354E-2"/>
              <c:y val="0.414806277095512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49391872"/>
        <c:crossesAt val="1.0000000000000041E-3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1980438171211129"/>
          <c:y val="0.16239996259681297"/>
          <c:w val="0.33481595735151376"/>
          <c:h val="0.19742154872150416"/>
        </c:manualLayout>
      </c:layout>
      <c:overlay val="0"/>
      <c:spPr>
        <a:solidFill>
          <a:srgbClr val="FFFFFF"/>
        </a:solidFill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solidFill>
      <a:schemeClr val="lt2"/>
    </a:solidFill>
    <a:ln w="3175">
      <a:solidFill>
        <a:sysClr val="windowText" lastClr="000000"/>
      </a:solidFill>
    </a:ln>
  </c:spPr>
  <c:txPr>
    <a:bodyPr/>
    <a:lstStyle/>
    <a:p>
      <a:pPr>
        <a:defRPr sz="800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866" r="0.75000000000000866" t="1" header="0.5" footer="0.5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059498670579271"/>
          <c:y val="0.15326975675683863"/>
          <c:w val="0.82827901825522265"/>
          <c:h val="0.72458777553660758"/>
        </c:manualLayout>
      </c:layout>
      <c:scatterChart>
        <c:scatterStyle val="lineMarker"/>
        <c:varyColors val="0"/>
        <c:ser>
          <c:idx val="0"/>
          <c:order val="0"/>
          <c:spPr>
            <a:ln w="15875">
              <a:solidFill>
                <a:schemeClr val="dk2">
                  <a:lumMod val="50000"/>
                </a:schemeClr>
              </a:solidFill>
            </a:ln>
          </c:spPr>
          <c:marker>
            <c:symbol val="circle"/>
            <c:size val="5"/>
            <c:spPr>
              <a:solidFill>
                <a:schemeClr val="dk2">
                  <a:lumMod val="60000"/>
                  <a:lumOff val="40000"/>
                </a:schemeClr>
              </a:solidFill>
              <a:ln>
                <a:solidFill>
                  <a:schemeClr val="dk2">
                    <a:lumMod val="50000"/>
                  </a:schemeClr>
                </a:solidFill>
              </a:ln>
            </c:spPr>
          </c:marker>
          <c:xVal>
            <c:numRef>
              <c:f>Table!$F$18:$F$135</c:f>
              <c:numCache>
                <c:formatCode>???0.000</c:formatCode>
                <c:ptCount val="118"/>
                <c:pt idx="0">
                  <c:v>120.20931235308598</c:v>
                </c:pt>
                <c:pt idx="1">
                  <c:v>114.73151788863078</c:v>
                </c:pt>
                <c:pt idx="2">
                  <c:v>100.70142227254181</c:v>
                </c:pt>
                <c:pt idx="3">
                  <c:v>90.56112186131439</c:v>
                </c:pt>
                <c:pt idx="4">
                  <c:v>84.247986387269421</c:v>
                </c:pt>
                <c:pt idx="5">
                  <c:v>77.164808933933102</c:v>
                </c:pt>
                <c:pt idx="6">
                  <c:v>70.792636791316795</c:v>
                </c:pt>
                <c:pt idx="7">
                  <c:v>64.793750398935714</c:v>
                </c:pt>
                <c:pt idx="8">
                  <c:v>59.394127296634402</c:v>
                </c:pt>
                <c:pt idx="9">
                  <c:v>54.393075732722075</c:v>
                </c:pt>
                <c:pt idx="10">
                  <c:v>49.605578053628093</c:v>
                </c:pt>
                <c:pt idx="11">
                  <c:v>45.316355228658018</c:v>
                </c:pt>
                <c:pt idx="12">
                  <c:v>41.407039581121154</c:v>
                </c:pt>
                <c:pt idx="13">
                  <c:v>37.922739070711607</c:v>
                </c:pt>
                <c:pt idx="14">
                  <c:v>34.739629036157609</c:v>
                </c:pt>
                <c:pt idx="15">
                  <c:v>31.787038007685418</c:v>
                </c:pt>
                <c:pt idx="16">
                  <c:v>29.068102626491974</c:v>
                </c:pt>
                <c:pt idx="17">
                  <c:v>26.569849206043273</c:v>
                </c:pt>
                <c:pt idx="18">
                  <c:v>24.296334727686563</c:v>
                </c:pt>
                <c:pt idx="19">
                  <c:v>22.214006675492922</c:v>
                </c:pt>
                <c:pt idx="20">
                  <c:v>20.300664080457626</c:v>
                </c:pt>
                <c:pt idx="21">
                  <c:v>18.557212816099515</c:v>
                </c:pt>
                <c:pt idx="22">
                  <c:v>16.994839724797618</c:v>
                </c:pt>
                <c:pt idx="23">
                  <c:v>15.423165978582075</c:v>
                </c:pt>
                <c:pt idx="24">
                  <c:v>14.229445080162403</c:v>
                </c:pt>
                <c:pt idx="25">
                  <c:v>12.92585986221709</c:v>
                </c:pt>
                <c:pt idx="26">
                  <c:v>11.848356620325308</c:v>
                </c:pt>
                <c:pt idx="27">
                  <c:v>10.86344499678656</c:v>
                </c:pt>
                <c:pt idx="28">
                  <c:v>9.9252116059169353</c:v>
                </c:pt>
                <c:pt idx="29">
                  <c:v>9.0492950031873658</c:v>
                </c:pt>
                <c:pt idx="30">
                  <c:v>8.2730111799415997</c:v>
                </c:pt>
                <c:pt idx="31">
                  <c:v>7.5582412240874648</c:v>
                </c:pt>
                <c:pt idx="32">
                  <c:v>6.888924921245458</c:v>
                </c:pt>
                <c:pt idx="33">
                  <c:v>6.321296468647323</c:v>
                </c:pt>
                <c:pt idx="34">
                  <c:v>5.3818035814347729</c:v>
                </c:pt>
                <c:pt idx="35">
                  <c:v>5.1091370292161988</c:v>
                </c:pt>
                <c:pt idx="36">
                  <c:v>4.4542310806488175</c:v>
                </c:pt>
                <c:pt idx="37">
                  <c:v>4.1451477297037442</c:v>
                </c:pt>
                <c:pt idx="38">
                  <c:v>3.7579088055541088</c:v>
                </c:pt>
                <c:pt idx="39">
                  <c:v>3.435587207829188</c:v>
                </c:pt>
                <c:pt idx="40">
                  <c:v>3.18910462827749</c:v>
                </c:pt>
                <c:pt idx="41">
                  <c:v>2.8541821448083908</c:v>
                </c:pt>
                <c:pt idx="42">
                  <c:v>2.6228661208567785</c:v>
                </c:pt>
                <c:pt idx="43">
                  <c:v>2.3869497267472721</c:v>
                </c:pt>
                <c:pt idx="44">
                  <c:v>2.1810612858994665</c:v>
                </c:pt>
                <c:pt idx="45">
                  <c:v>1.980108343582951</c:v>
                </c:pt>
                <c:pt idx="46">
                  <c:v>1.8215237340113517</c:v>
                </c:pt>
                <c:pt idx="47">
                  <c:v>1.6586951128010745</c:v>
                </c:pt>
                <c:pt idx="48">
                  <c:v>1.5200832247325771</c:v>
                </c:pt>
                <c:pt idx="49">
                  <c:v>1.3875563077841575</c:v>
                </c:pt>
                <c:pt idx="50">
                  <c:v>1.272161491667728</c:v>
                </c:pt>
                <c:pt idx="51">
                  <c:v>1.1587854843123513</c:v>
                </c:pt>
                <c:pt idx="52">
                  <c:v>1.0570507268154432</c:v>
                </c:pt>
                <c:pt idx="53">
                  <c:v>0.96959104542084196</c:v>
                </c:pt>
                <c:pt idx="54">
                  <c:v>0.88227965424475607</c:v>
                </c:pt>
                <c:pt idx="55">
                  <c:v>0.80649254306380791</c:v>
                </c:pt>
                <c:pt idx="56">
                  <c:v>0.73514445678942197</c:v>
                </c:pt>
                <c:pt idx="57">
                  <c:v>0.67332578346062189</c:v>
                </c:pt>
                <c:pt idx="58">
                  <c:v>0.61510884771105145</c:v>
                </c:pt>
                <c:pt idx="59">
                  <c:v>0.56049007411578888</c:v>
                </c:pt>
                <c:pt idx="60">
                  <c:v>0.51280566911679548</c:v>
                </c:pt>
                <c:pt idx="61">
                  <c:v>0.46853276647550707</c:v>
                </c:pt>
                <c:pt idx="62">
                  <c:v>0.42906112100193794</c:v>
                </c:pt>
                <c:pt idx="63">
                  <c:v>0.39099864350914149</c:v>
                </c:pt>
                <c:pt idx="64">
                  <c:v>0.35774194752237715</c:v>
                </c:pt>
                <c:pt idx="65">
                  <c:v>0.32634051244638568</c:v>
                </c:pt>
                <c:pt idx="66">
                  <c:v>0.29912294835047032</c:v>
                </c:pt>
                <c:pt idx="67">
                  <c:v>0.27285676943213982</c:v>
                </c:pt>
                <c:pt idx="68">
                  <c:v>0.24977755816105809</c:v>
                </c:pt>
                <c:pt idx="69">
                  <c:v>0.22800911397352741</c:v>
                </c:pt>
                <c:pt idx="70">
                  <c:v>0.20831188098380934</c:v>
                </c:pt>
                <c:pt idx="71">
                  <c:v>0.19027396057403845</c:v>
                </c:pt>
                <c:pt idx="72">
                  <c:v>0.17457886192469108</c:v>
                </c:pt>
                <c:pt idx="73">
                  <c:v>0.15968652564919536</c:v>
                </c:pt>
                <c:pt idx="74">
                  <c:v>0.14565156113338351</c:v>
                </c:pt>
                <c:pt idx="75">
                  <c:v>0.13300911662635939</c:v>
                </c:pt>
                <c:pt idx="76">
                  <c:v>0.12156425470139569</c:v>
                </c:pt>
                <c:pt idx="77">
                  <c:v>0.11125166057602652</c:v>
                </c:pt>
                <c:pt idx="78">
                  <c:v>0.10143817296518641</c:v>
                </c:pt>
                <c:pt idx="79">
                  <c:v>9.2642184803986394E-2</c:v>
                </c:pt>
                <c:pt idx="80">
                  <c:v>8.4969609585609701E-2</c:v>
                </c:pt>
                <c:pt idx="81">
                  <c:v>7.7352302683440191E-2</c:v>
                </c:pt>
                <c:pt idx="82">
                  <c:v>7.0891687194513428E-2</c:v>
                </c:pt>
                <c:pt idx="83">
                  <c:v>6.4805527218571357E-2</c:v>
                </c:pt>
                <c:pt idx="84">
                  <c:v>5.9125095655421678E-2</c:v>
                </c:pt>
                <c:pt idx="85">
                  <c:v>5.4123759624716092E-2</c:v>
                </c:pt>
                <c:pt idx="86">
                  <c:v>4.9438333347986835E-2</c:v>
                </c:pt>
                <c:pt idx="87">
                  <c:v>4.5163853954780606E-2</c:v>
                </c:pt>
                <c:pt idx="88">
                  <c:v>4.1354930198818911E-2</c:v>
                </c:pt>
                <c:pt idx="89">
                  <c:v>3.7835713456042232E-2</c:v>
                </c:pt>
                <c:pt idx="90">
                  <c:v>3.4554359880252732E-2</c:v>
                </c:pt>
                <c:pt idx="91">
                  <c:v>3.1587499264519647E-2</c:v>
                </c:pt>
                <c:pt idx="92">
                  <c:v>2.8853503895352003E-2</c:v>
                </c:pt>
                <c:pt idx="93">
                  <c:v>2.6405532276772784E-2</c:v>
                </c:pt>
                <c:pt idx="94">
                  <c:v>2.4109865821165342E-2</c:v>
                </c:pt>
                <c:pt idx="95">
                  <c:v>2.2047026073488012E-2</c:v>
                </c:pt>
                <c:pt idx="96">
                  <c:v>2.0164350333305658E-2</c:v>
                </c:pt>
                <c:pt idx="97">
                  <c:v>1.841828988934158E-2</c:v>
                </c:pt>
                <c:pt idx="98">
                  <c:v>1.6840832020375292E-2</c:v>
                </c:pt>
                <c:pt idx="99">
                  <c:v>1.5413501603401361E-2</c:v>
                </c:pt>
                <c:pt idx="100">
                  <c:v>1.4109188295936909E-2</c:v>
                </c:pt>
                <c:pt idx="101">
                  <c:v>1.2826566279484357E-2</c:v>
                </c:pt>
                <c:pt idx="102">
                  <c:v>1.1755530225423264E-2</c:v>
                </c:pt>
                <c:pt idx="103">
                  <c:v>1.0723987756149184E-2</c:v>
                </c:pt>
                <c:pt idx="104">
                  <c:v>9.8075434601945961E-3</c:v>
                </c:pt>
                <c:pt idx="105">
                  <c:v>8.9917861641049153E-3</c:v>
                </c:pt>
                <c:pt idx="106">
                  <c:v>8.222487207093258E-3</c:v>
                </c:pt>
                <c:pt idx="107">
                  <c:v>7.5145356832543664E-3</c:v>
                </c:pt>
                <c:pt idx="108">
                  <c:v>6.8670187661999402E-3</c:v>
                </c:pt>
                <c:pt idx="109">
                  <c:v>6.2574272598218423E-3</c:v>
                </c:pt>
                <c:pt idx="110">
                  <c:v>5.7290883306046645E-3</c:v>
                </c:pt>
                <c:pt idx="111">
                  <c:v>5.2382922664200486E-3</c:v>
                </c:pt>
                <c:pt idx="112">
                  <c:v>4.789428876800385E-3</c:v>
                </c:pt>
                <c:pt idx="113">
                  <c:v>4.3781239970279977E-3</c:v>
                </c:pt>
                <c:pt idx="114">
                  <c:v>4.0050445747619465E-3</c:v>
                </c:pt>
                <c:pt idx="115">
                  <c:v>3.6610270615643806E-3</c:v>
                </c:pt>
                <c:pt idx="116">
                  <c:v>3.347050150314208E-3</c:v>
                </c:pt>
                <c:pt idx="117">
                  <c:v>3.0826300023683805E-3</c:v>
                </c:pt>
              </c:numCache>
            </c:numRef>
          </c:xVal>
          <c:yVal>
            <c:numRef>
              <c:f>Table!$H$18:$H$135</c:f>
              <c:numCache>
                <c:formatCode>????0.00</c:formatCode>
                <c:ptCount val="1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1.3435442697836813E-2</c:v>
                </c:pt>
                <c:pt idx="40">
                  <c:v>2.0153164046755455E-2</c:v>
                </c:pt>
                <c:pt idx="41">
                  <c:v>3.358860674459227E-2</c:v>
                </c:pt>
                <c:pt idx="42">
                  <c:v>3.3588606744592242E-2</c:v>
                </c:pt>
                <c:pt idx="43">
                  <c:v>0.10748354158269499</c:v>
                </c:pt>
                <c:pt idx="44">
                  <c:v>9.404809888485835E-2</c:v>
                </c:pt>
                <c:pt idx="45">
                  <c:v>0.2888620180034932</c:v>
                </c:pt>
                <c:pt idx="46">
                  <c:v>0.36275695284159626</c:v>
                </c:pt>
                <c:pt idx="47">
                  <c:v>0.67848985624076275</c:v>
                </c:pt>
                <c:pt idx="48">
                  <c:v>1.16888351471181</c:v>
                </c:pt>
                <c:pt idx="49">
                  <c:v>2.2840252586322727</c:v>
                </c:pt>
                <c:pt idx="50">
                  <c:v>4.6553808948004836</c:v>
                </c:pt>
                <c:pt idx="51">
                  <c:v>7.3424694343678638</c:v>
                </c:pt>
                <c:pt idx="52">
                  <c:v>8.9211339513637</c:v>
                </c:pt>
                <c:pt idx="53">
                  <c:v>8.8270858524788309</c:v>
                </c:pt>
                <c:pt idx="54">
                  <c:v>6.0459492140266065</c:v>
                </c:pt>
                <c:pt idx="55">
                  <c:v>2.8684670159881804</c:v>
                </c:pt>
                <c:pt idx="56">
                  <c:v>2.344484750772537</c:v>
                </c:pt>
                <c:pt idx="57">
                  <c:v>1.9481391911863426</c:v>
                </c:pt>
                <c:pt idx="58">
                  <c:v>1.9011151417439223</c:v>
                </c:pt>
                <c:pt idx="59">
                  <c:v>1.7398898293698863</c:v>
                </c:pt>
                <c:pt idx="60">
                  <c:v>1.6794303372296113</c:v>
                </c:pt>
                <c:pt idx="61">
                  <c:v>1.6928657799274447</c:v>
                </c:pt>
                <c:pt idx="62">
                  <c:v>1.6727126158806982</c:v>
                </c:pt>
                <c:pt idx="63">
                  <c:v>1.6324062877871839</c:v>
                </c:pt>
                <c:pt idx="64">
                  <c:v>1.5988176810425827</c:v>
                </c:pt>
                <c:pt idx="65">
                  <c:v>1.6324062877871839</c:v>
                </c:pt>
                <c:pt idx="66">
                  <c:v>1.5114873035066481</c:v>
                </c:pt>
                <c:pt idx="67">
                  <c:v>1.5786645169958362</c:v>
                </c:pt>
                <c:pt idx="68">
                  <c:v>1.4913341394598945</c:v>
                </c:pt>
                <c:pt idx="69">
                  <c:v>1.5047695821577349</c:v>
                </c:pt>
                <c:pt idx="70">
                  <c:v>1.4107214832728801</c:v>
                </c:pt>
                <c:pt idx="71">
                  <c:v>1.3771328765282647</c:v>
                </c:pt>
                <c:pt idx="72">
                  <c:v>1.3099556630391049</c:v>
                </c:pt>
                <c:pt idx="73">
                  <c:v>1.3233911057369454</c:v>
                </c:pt>
                <c:pt idx="74">
                  <c:v>1.2830847776434098</c:v>
                </c:pt>
                <c:pt idx="75">
                  <c:v>1.249496170898837</c:v>
                </c:pt>
                <c:pt idx="76">
                  <c:v>1.2024721214563954</c:v>
                </c:pt>
                <c:pt idx="77">
                  <c:v>1.1487303506650619</c:v>
                </c:pt>
                <c:pt idx="78">
                  <c:v>1.1688835147118084</c:v>
                </c:pt>
                <c:pt idx="79">
                  <c:v>1.0210936450356058</c:v>
                </c:pt>
                <c:pt idx="80">
                  <c:v>1.0076582023377512</c:v>
                </c:pt>
                <c:pt idx="81">
                  <c:v>1.0681176944780475</c:v>
                </c:pt>
                <c:pt idx="82">
                  <c:v>0.96063415289533793</c:v>
                </c:pt>
                <c:pt idx="83">
                  <c:v>0.94719871019749746</c:v>
                </c:pt>
                <c:pt idx="84">
                  <c:v>0.98078731694209864</c:v>
                </c:pt>
                <c:pt idx="85">
                  <c:v>0.92032782480181652</c:v>
                </c:pt>
                <c:pt idx="86">
                  <c:v>0.91361010345291049</c:v>
                </c:pt>
                <c:pt idx="87">
                  <c:v>0.83299744726588187</c:v>
                </c:pt>
                <c:pt idx="88">
                  <c:v>0.84643288996375077</c:v>
                </c:pt>
                <c:pt idx="89">
                  <c:v>0.84643288996370813</c:v>
                </c:pt>
                <c:pt idx="90">
                  <c:v>0.78597339782346864</c:v>
                </c:pt>
                <c:pt idx="91">
                  <c:v>0.80612656187021514</c:v>
                </c:pt>
                <c:pt idx="92">
                  <c:v>0.75910251242777349</c:v>
                </c:pt>
                <c:pt idx="93">
                  <c:v>0.71207846298534605</c:v>
                </c:pt>
                <c:pt idx="94">
                  <c:v>0.698643020287534</c:v>
                </c:pt>
                <c:pt idx="95">
                  <c:v>0.6449012494961579</c:v>
                </c:pt>
                <c:pt idx="96">
                  <c:v>0.63146580679834585</c:v>
                </c:pt>
                <c:pt idx="97">
                  <c:v>0.59115947870481023</c:v>
                </c:pt>
                <c:pt idx="98">
                  <c:v>0.51054682251781003</c:v>
                </c:pt>
                <c:pt idx="99">
                  <c:v>0.52398226521563629</c:v>
                </c:pt>
                <c:pt idx="100">
                  <c:v>0.47024049442428861</c:v>
                </c:pt>
                <c:pt idx="101">
                  <c:v>0.48367593712212908</c:v>
                </c:pt>
                <c:pt idx="102">
                  <c:v>0.37619239553944794</c:v>
                </c:pt>
                <c:pt idx="103">
                  <c:v>0.34260378879483255</c:v>
                </c:pt>
                <c:pt idx="104">
                  <c:v>0.34260378879484676</c:v>
                </c:pt>
                <c:pt idx="105">
                  <c:v>0.32245062474807185</c:v>
                </c:pt>
                <c:pt idx="106">
                  <c:v>0.28214429665457885</c:v>
                </c:pt>
                <c:pt idx="107">
                  <c:v>0.24855568990997767</c:v>
                </c:pt>
                <c:pt idx="108">
                  <c:v>0.23512024721215141</c:v>
                </c:pt>
                <c:pt idx="109">
                  <c:v>0.16794303372296326</c:v>
                </c:pt>
                <c:pt idx="110">
                  <c:v>0.13435442697836208</c:v>
                </c:pt>
                <c:pt idx="111">
                  <c:v>0.14107214832728232</c:v>
                </c:pt>
                <c:pt idx="112">
                  <c:v>0.12763670562945606</c:v>
                </c:pt>
                <c:pt idx="113">
                  <c:v>9.4048098884869091E-2</c:v>
                </c:pt>
                <c:pt idx="114">
                  <c:v>7.3894934838094173E-2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01248"/>
        <c:axId val="49703552"/>
      </c:scatterChart>
      <c:valAx>
        <c:axId val="49701248"/>
        <c:scaling>
          <c:logBase val="10"/>
          <c:orientation val="minMax"/>
          <c:max val="100"/>
          <c:min val="1.0000000000000041E-3"/>
        </c:scaling>
        <c:delete val="0"/>
        <c:axPos val="t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gradFill rotWithShape="1"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Pore Aperture Diameter (microns)</a:t>
                </a:r>
              </a:p>
            </c:rich>
          </c:tx>
          <c:layout>
            <c:manualLayout>
              <c:xMode val="edge"/>
              <c:yMode val="edge"/>
              <c:x val="0.36675497039079008"/>
              <c:y val="0.92355761574540307"/>
            </c:manualLayout>
          </c:layout>
          <c:overlay val="0"/>
          <c:spPr>
            <a:noFill/>
            <a:ln w="25400">
              <a:noFill/>
            </a:ln>
          </c:spPr>
        </c:title>
        <c:numFmt formatCode="??0.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/>
            </a:pPr>
            <a:endParaRPr lang="en-US"/>
          </a:p>
        </c:txPr>
        <c:crossAx val="49703552"/>
        <c:crosses val="autoZero"/>
        <c:crossBetween val="midCat"/>
        <c:majorUnit val="10"/>
        <c:minorUnit val="10"/>
      </c:valAx>
      <c:valAx>
        <c:axId val="49703552"/>
        <c:scaling>
          <c:orientation val="maxMin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Incremental Intrusion as Percent of Pore Volume</a:t>
                </a:r>
              </a:p>
            </c:rich>
          </c:tx>
          <c:layout>
            <c:manualLayout>
              <c:xMode val="edge"/>
              <c:yMode val="edge"/>
              <c:x val="1.0568979145875295E-2"/>
              <c:y val="0.2125122153495171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-5400000" vert="horz"/>
          <a:lstStyle/>
          <a:p>
            <a:pPr>
              <a:defRPr sz="580"/>
            </a:pPr>
            <a:endParaRPr lang="en-US"/>
          </a:p>
        </c:txPr>
        <c:crossAx val="49701248"/>
        <c:crossesAt val="1.0000000000000041E-3"/>
        <c:crossBetween val="midCat"/>
      </c:valAx>
      <c:spPr>
        <a:noFill/>
        <a:ln w="3175">
          <a:solidFill>
            <a:srgbClr val="000000"/>
          </a:solidFill>
        </a:ln>
      </c:spPr>
    </c:plotArea>
    <c:plotVisOnly val="0"/>
    <c:dispBlanksAs val="gap"/>
    <c:showDLblsOverMax val="0"/>
  </c:chart>
  <c:spPr>
    <a:solidFill>
      <a:schemeClr val="accent2">
        <a:lumMod val="20000"/>
        <a:lumOff val="80000"/>
      </a:schemeClr>
    </a:solidFill>
    <a:ln w="3175">
      <a:solidFill>
        <a:sysClr val="windowText" lastClr="000000"/>
      </a:solidFill>
    </a:ln>
  </c:spPr>
  <c:txPr>
    <a:bodyPr/>
    <a:lstStyle/>
    <a:p>
      <a:pPr>
        <a:defRPr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0.75000000000000955" l="0.70000000000000062" r="0.70000000000000062" t="0.75000000000000955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image" Target="../media/image2.jpeg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19050</xdr:rowOff>
    </xdr:from>
    <xdr:to>
      <xdr:col>1</xdr:col>
      <xdr:colOff>476250</xdr:colOff>
      <xdr:row>2</xdr:row>
      <xdr:rowOff>152400</xdr:rowOff>
    </xdr:to>
    <xdr:pic>
      <xdr:nvPicPr>
        <xdr:cNvPr id="33822" name="Picture 2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19050"/>
          <a:ext cx="1110870" cy="4635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104775</xdr:rowOff>
    </xdr:to>
    <xdr:pic>
      <xdr:nvPicPr>
        <xdr:cNvPr id="27925" name="Picture 20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058872" cy="454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9525</xdr:colOff>
      <xdr:row>7</xdr:row>
      <xdr:rowOff>161924</xdr:rowOff>
    </xdr:from>
    <xdr:to>
      <xdr:col>5</xdr:col>
      <xdr:colOff>19812</xdr:colOff>
      <xdr:row>26</xdr:row>
      <xdr:rowOff>2666</xdr:rowOff>
    </xdr:to>
    <xdr:graphicFrame macro="">
      <xdr:nvGraphicFramePr>
        <xdr:cNvPr id="27923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762</xdr:colOff>
      <xdr:row>8</xdr:row>
      <xdr:rowOff>2666</xdr:rowOff>
    </xdr:from>
    <xdr:to>
      <xdr:col>10</xdr:col>
      <xdr:colOff>11049</xdr:colOff>
      <xdr:row>26</xdr:row>
      <xdr:rowOff>5333</xdr:rowOff>
    </xdr:to>
    <xdr:graphicFrame macro="">
      <xdr:nvGraphicFramePr>
        <xdr:cNvPr id="11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8</xdr:row>
      <xdr:rowOff>0</xdr:rowOff>
    </xdr:from>
    <xdr:to>
      <xdr:col>14</xdr:col>
      <xdr:colOff>540444</xdr:colOff>
      <xdr:row>26</xdr:row>
      <xdr:rowOff>2667</xdr:rowOff>
    </xdr:to>
    <xdr:graphicFrame macro="">
      <xdr:nvGraphicFramePr>
        <xdr:cNvPr id="27922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9525</xdr:colOff>
      <xdr:row>25</xdr:row>
      <xdr:rowOff>147759</xdr:rowOff>
    </xdr:from>
    <xdr:to>
      <xdr:col>5</xdr:col>
      <xdr:colOff>19812</xdr:colOff>
      <xdr:row>43</xdr:row>
      <xdr:rowOff>161924</xdr:rowOff>
    </xdr:to>
    <xdr:graphicFrame macro="">
      <xdr:nvGraphicFramePr>
        <xdr:cNvPr id="27924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540445</xdr:colOff>
      <xdr:row>25</xdr:row>
      <xdr:rowOff>147761</xdr:rowOff>
    </xdr:from>
    <xdr:to>
      <xdr:col>15</xdr:col>
      <xdr:colOff>0</xdr:colOff>
      <xdr:row>44</xdr:row>
      <xdr:rowOff>0</xdr:rowOff>
    </xdr:to>
    <xdr:graphicFrame macro="">
      <xdr:nvGraphicFramePr>
        <xdr:cNvPr id="10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19050</xdr:rowOff>
    </xdr:from>
    <xdr:to>
      <xdr:col>1</xdr:col>
      <xdr:colOff>476250</xdr:colOff>
      <xdr:row>2</xdr:row>
      <xdr:rowOff>114300</xdr:rowOff>
    </xdr:to>
    <xdr:pic>
      <xdr:nvPicPr>
        <xdr:cNvPr id="29826" name="Picture 2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19050"/>
          <a:ext cx="1069385" cy="454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104775</xdr:rowOff>
    </xdr:to>
    <xdr:pic>
      <xdr:nvPicPr>
        <xdr:cNvPr id="29827" name="Picture 20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069385" cy="454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14</xdr:col>
      <xdr:colOff>862742</xdr:colOff>
      <xdr:row>30</xdr:row>
      <xdr:rowOff>159258</xdr:rowOff>
    </xdr:to>
    <xdr:graphicFrame macro="">
      <xdr:nvGraphicFramePr>
        <xdr:cNvPr id="2983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8</xdr:row>
      <xdr:rowOff>0</xdr:rowOff>
    </xdr:from>
    <xdr:to>
      <xdr:col>8</xdr:col>
      <xdr:colOff>0</xdr:colOff>
      <xdr:row>31</xdr:row>
      <xdr:rowOff>0</xdr:rowOff>
    </xdr:to>
    <xdr:graphicFrame macro="">
      <xdr:nvGraphicFramePr>
        <xdr:cNvPr id="2983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7</xdr:col>
      <xdr:colOff>320802</xdr:colOff>
      <xdr:row>53</xdr:row>
      <xdr:rowOff>159258</xdr:rowOff>
    </xdr:to>
    <xdr:graphicFrame macro="">
      <xdr:nvGraphicFramePr>
        <xdr:cNvPr id="9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3048</xdr:colOff>
      <xdr:row>31</xdr:row>
      <xdr:rowOff>0</xdr:rowOff>
    </xdr:from>
    <xdr:to>
      <xdr:col>15</xdr:col>
      <xdr:colOff>0</xdr:colOff>
      <xdr:row>53</xdr:row>
      <xdr:rowOff>159258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142875</xdr:rowOff>
    </xdr:to>
    <xdr:pic>
      <xdr:nvPicPr>
        <xdr:cNvPr id="2080" name="Picture 3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110870" cy="4635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1"/>
  <sheetViews>
    <sheetView showGridLines="0" tabSelected="1" workbookViewId="0">
      <pane xSplit="2" ySplit="17" topLeftCell="C18" activePane="bottomRight" state="frozen"/>
      <selection activeCell="E35" sqref="E35"/>
      <selection pane="topRight" activeCell="E35" sqref="E35"/>
      <selection pane="bottomLeft" activeCell="E35" sqref="E35"/>
      <selection pane="bottomRight" activeCell="A11" sqref="A11"/>
    </sheetView>
  </sheetViews>
  <sheetFormatPr defaultColWidth="8.85546875" defaultRowHeight="12.75" x14ac:dyDescent="0.2"/>
  <cols>
    <col min="1" max="1" width="8.85546875" style="46"/>
    <col min="2" max="2" width="10.7109375" style="46" customWidth="1"/>
    <col min="3" max="3" width="16.140625" style="46" customWidth="1"/>
    <col min="4" max="4" width="10.5703125" style="46" customWidth="1"/>
    <col min="5" max="5" width="9.5703125" style="46" customWidth="1"/>
    <col min="6" max="6" width="10.7109375" style="46" customWidth="1"/>
    <col min="7" max="14" width="9.5703125" style="46" customWidth="1"/>
    <col min="15" max="15" width="8.85546875" style="46"/>
    <col min="16" max="17" width="10.7109375" style="46" customWidth="1"/>
    <col min="18" max="19" width="8.85546875" style="46"/>
    <col min="20" max="20" width="9.5703125" style="46" bestFit="1" customWidth="1"/>
    <col min="21" max="21" width="8.85546875" style="46"/>
    <col min="22" max="22" width="7.5703125" style="46" customWidth="1"/>
    <col min="23" max="23" width="11.5703125" style="131" bestFit="1" customWidth="1"/>
    <col min="24" max="24" width="13" style="131" customWidth="1"/>
    <col min="25" max="37" width="8.85546875" style="131"/>
    <col min="38" max="38" width="15.85546875" style="131" customWidth="1"/>
    <col min="39" max="16384" width="8.85546875" style="131"/>
  </cols>
  <sheetData>
    <row r="1" spans="1:40" x14ac:dyDescent="0.2">
      <c r="X1" s="102"/>
      <c r="Y1" s="78"/>
      <c r="Z1" s="78"/>
      <c r="AA1" s="93"/>
      <c r="AB1" s="93"/>
    </row>
    <row r="2" spans="1:40" x14ac:dyDescent="0.2">
      <c r="X2" s="129"/>
      <c r="Y2" s="129"/>
      <c r="Z2" s="90"/>
      <c r="AA2" s="90"/>
      <c r="AB2" s="104"/>
      <c r="AC2" s="104"/>
    </row>
    <row r="3" spans="1:40" x14ac:dyDescent="0.2">
      <c r="X3" s="134"/>
      <c r="Y3" s="144"/>
      <c r="Z3" s="100"/>
      <c r="AA3" s="104"/>
      <c r="AB3" s="92"/>
      <c r="AC3" s="92"/>
    </row>
    <row r="4" spans="1:40" x14ac:dyDescent="0.2">
      <c r="X4" s="134"/>
      <c r="Y4" s="144"/>
      <c r="Z4" s="100"/>
      <c r="AA4" s="104"/>
      <c r="AB4" s="92"/>
      <c r="AC4" s="92"/>
      <c r="AL4" s="61"/>
      <c r="AM4" s="61"/>
      <c r="AN4" s="61"/>
    </row>
    <row r="5" spans="1:40" ht="15.75" x14ac:dyDescent="0.25">
      <c r="A5" s="163" t="s">
        <v>11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29"/>
      <c r="O5" s="29"/>
      <c r="P5" s="29"/>
      <c r="Q5" s="29"/>
      <c r="R5" s="29"/>
      <c r="S5" s="29"/>
      <c r="T5" s="148"/>
      <c r="U5" s="65"/>
      <c r="V5" s="65"/>
      <c r="W5" s="144"/>
      <c r="X5" s="134"/>
      <c r="Y5" s="144"/>
      <c r="Z5" s="104"/>
      <c r="AA5" s="88"/>
      <c r="AB5" s="88"/>
      <c r="AC5" s="88"/>
      <c r="AL5" s="61"/>
      <c r="AM5" s="61"/>
      <c r="AN5" s="61"/>
    </row>
    <row r="6" spans="1:40" x14ac:dyDescent="0.2">
      <c r="A6" s="44"/>
      <c r="B6" s="65"/>
      <c r="C6" s="65"/>
      <c r="D6" s="65"/>
      <c r="E6" s="44"/>
      <c r="F6" s="44"/>
      <c r="G6" s="44"/>
      <c r="H6" s="44"/>
      <c r="I6" s="44"/>
      <c r="J6" s="44"/>
      <c r="K6" s="44"/>
      <c r="L6" s="44"/>
      <c r="M6" s="44"/>
      <c r="N6" s="44"/>
      <c r="O6" s="65"/>
      <c r="P6" s="65"/>
      <c r="Q6" s="65"/>
      <c r="R6" s="44"/>
      <c r="S6" s="65"/>
      <c r="T6" s="65"/>
      <c r="U6" s="65"/>
      <c r="V6" s="65"/>
      <c r="W6" s="144"/>
      <c r="X6" s="134"/>
      <c r="Y6" s="144"/>
      <c r="Z6" s="104"/>
      <c r="AA6" s="96"/>
      <c r="AB6" s="100"/>
      <c r="AC6" s="100"/>
      <c r="AL6" s="61"/>
      <c r="AM6" s="61"/>
      <c r="AN6" s="61"/>
    </row>
    <row r="7" spans="1:40" ht="12.4" customHeight="1" x14ac:dyDescent="0.2">
      <c r="A7" s="58" t="str">
        <f>Table!A7</f>
        <v>NordAq Energy Inc.</v>
      </c>
      <c r="B7" s="44"/>
      <c r="C7" s="44"/>
      <c r="D7" s="44"/>
      <c r="E7" s="65"/>
      <c r="F7" s="65"/>
      <c r="G7" s="65"/>
      <c r="H7" s="65"/>
      <c r="I7" s="46" t="str">
        <f>Table!L7</f>
        <v>Sample Number:</v>
      </c>
      <c r="M7" s="108" t="str">
        <f>Table!P7</f>
        <v>2</v>
      </c>
      <c r="N7" s="65"/>
      <c r="O7" s="58"/>
      <c r="P7" s="82"/>
      <c r="Q7" s="129"/>
      <c r="R7" s="129"/>
      <c r="S7" s="90"/>
      <c r="T7" s="96"/>
      <c r="U7" s="132"/>
      <c r="V7" s="100"/>
      <c r="AE7" s="79"/>
      <c r="AF7" s="147"/>
      <c r="AG7" s="147"/>
    </row>
    <row r="8" spans="1:40" ht="12.4" customHeight="1" x14ac:dyDescent="0.2">
      <c r="A8" s="58" t="str">
        <f>Table!A8</f>
        <v>East Simpson No. 2 (USGS/Husky 1980)</v>
      </c>
      <c r="B8" s="44"/>
      <c r="C8" s="44"/>
      <c r="D8" s="44"/>
      <c r="E8" s="44"/>
      <c r="F8" s="44"/>
      <c r="G8" s="44"/>
      <c r="H8" s="44"/>
      <c r="I8" s="46" t="str">
        <f>Table!L8</f>
        <v>Sample Depth, m:</v>
      </c>
      <c r="M8" s="157">
        <f>Table!P8</f>
        <v>6062</v>
      </c>
      <c r="N8" s="65"/>
      <c r="O8" s="58"/>
      <c r="P8" s="82"/>
      <c r="Q8" s="129"/>
      <c r="R8" s="129"/>
      <c r="S8" s="90"/>
      <c r="T8" s="96"/>
      <c r="U8" s="132"/>
      <c r="V8" s="100"/>
      <c r="AE8" s="97"/>
      <c r="AF8" s="147"/>
      <c r="AG8" s="147"/>
    </row>
    <row r="9" spans="1:40" ht="12.4" customHeight="1" x14ac:dyDescent="0.2">
      <c r="A9" s="58" t="str">
        <f>Table!A9</f>
        <v>Torok Sandstones Formation</v>
      </c>
      <c r="B9" s="44"/>
      <c r="C9" s="44"/>
      <c r="D9" s="44"/>
      <c r="E9" s="44"/>
      <c r="F9" s="44"/>
      <c r="G9" s="44"/>
      <c r="H9" s="44"/>
      <c r="I9" s="47" t="str">
        <f>Table!L9</f>
        <v>Permeability to Air (calc), mD:</v>
      </c>
      <c r="K9" s="44"/>
      <c r="L9" s="44"/>
      <c r="M9" s="137">
        <f>Table!P9</f>
        <v>0.89798461316350597</v>
      </c>
      <c r="N9" s="65"/>
      <c r="O9" s="58" t="s">
        <v>38</v>
      </c>
      <c r="P9" s="82"/>
      <c r="Q9" s="144"/>
      <c r="R9" s="129"/>
      <c r="S9" s="129"/>
      <c r="T9" s="36"/>
      <c r="U9" s="36"/>
      <c r="V9" s="22"/>
      <c r="AE9" s="97"/>
      <c r="AF9" s="147"/>
      <c r="AG9" s="147"/>
    </row>
    <row r="10" spans="1:40" ht="12.4" customHeight="1" x14ac:dyDescent="0.2">
      <c r="A10" s="58" t="str">
        <f>Table!A10</f>
        <v>HH-61176</v>
      </c>
      <c r="B10" s="44"/>
      <c r="C10" s="44"/>
      <c r="D10" s="44"/>
      <c r="E10" s="65"/>
      <c r="F10" s="65"/>
      <c r="G10" s="65"/>
      <c r="H10" s="65"/>
      <c r="I10" s="47" t="str">
        <f>Table!L10</f>
        <v>Porosity, fraction:</v>
      </c>
      <c r="K10" s="44"/>
      <c r="L10" s="44"/>
      <c r="M10" s="137">
        <f>K30</f>
        <v>0.13814509138593267</v>
      </c>
      <c r="N10" s="65"/>
      <c r="O10" s="158" t="s">
        <v>38</v>
      </c>
      <c r="P10" s="86"/>
      <c r="Q10" s="144"/>
      <c r="R10" s="129"/>
      <c r="S10" s="129"/>
      <c r="T10" s="36"/>
      <c r="U10" s="90"/>
      <c r="V10" s="22"/>
      <c r="AE10" s="97"/>
      <c r="AF10" s="147"/>
      <c r="AG10" s="147"/>
    </row>
    <row r="11" spans="1:40" ht="12.4" customHeight="1" x14ac:dyDescent="0.2">
      <c r="A11" s="107"/>
      <c r="B11" s="44"/>
      <c r="C11" s="44"/>
      <c r="D11" s="44"/>
      <c r="E11" s="65"/>
      <c r="F11" s="65"/>
      <c r="G11" s="65"/>
      <c r="H11" s="44"/>
      <c r="I11" s="46" t="str">
        <f>Table!L11</f>
        <v>Grain Density, grams/cc:</v>
      </c>
      <c r="M11" s="12">
        <f>L30</f>
        <v>2.6363657125684052</v>
      </c>
      <c r="N11" s="65"/>
      <c r="O11" s="158" t="s">
        <v>38</v>
      </c>
      <c r="P11" s="86"/>
      <c r="Q11" s="129"/>
      <c r="R11" s="102"/>
      <c r="S11" s="78"/>
      <c r="T11" s="78"/>
      <c r="U11" s="95"/>
      <c r="V11" s="131"/>
      <c r="AE11" s="97"/>
      <c r="AF11" s="147"/>
      <c r="AG11" s="147"/>
    </row>
    <row r="12" spans="1:40" ht="12.4" customHeight="1" x14ac:dyDescent="0.2">
      <c r="A12" s="58"/>
      <c r="B12" s="44"/>
      <c r="C12" s="44"/>
      <c r="D12" s="44"/>
      <c r="E12" s="44"/>
      <c r="F12" s="44"/>
      <c r="G12" s="44"/>
      <c r="H12" s="44"/>
      <c r="I12" s="44"/>
      <c r="J12" s="47"/>
      <c r="K12" s="44"/>
      <c r="L12" s="44"/>
      <c r="M12" s="137"/>
      <c r="N12" s="65"/>
      <c r="O12" s="18"/>
      <c r="P12" s="104"/>
      <c r="Q12" s="129"/>
      <c r="R12" s="144"/>
      <c r="S12" s="129"/>
      <c r="T12" s="135"/>
      <c r="U12" s="144"/>
      <c r="V12" s="131"/>
      <c r="AE12" s="147"/>
      <c r="AF12" s="147"/>
      <c r="AG12" s="147"/>
    </row>
    <row r="13" spans="1:40" ht="12.4" customHeight="1" x14ac:dyDescent="0.2">
      <c r="A13" s="39"/>
      <c r="B13" s="39" t="s">
        <v>57</v>
      </c>
      <c r="C13" s="39" t="s">
        <v>56</v>
      </c>
      <c r="D13" s="39" t="s">
        <v>57</v>
      </c>
      <c r="E13" s="39" t="s">
        <v>56</v>
      </c>
      <c r="F13" s="39" t="s">
        <v>91</v>
      </c>
      <c r="G13" s="133"/>
      <c r="H13" s="133"/>
      <c r="N13" s="65"/>
      <c r="O13" s="18"/>
      <c r="P13" s="104"/>
      <c r="Q13" s="129"/>
      <c r="R13" s="129"/>
      <c r="S13" s="129"/>
      <c r="T13" s="135"/>
      <c r="U13" s="129"/>
      <c r="V13" s="131"/>
      <c r="AE13" s="147"/>
      <c r="AF13" s="147"/>
      <c r="AG13" s="147"/>
    </row>
    <row r="14" spans="1:40" ht="12.4" customHeight="1" x14ac:dyDescent="0.2">
      <c r="A14" s="128" t="s">
        <v>85</v>
      </c>
      <c r="B14" s="128" t="s">
        <v>62</v>
      </c>
      <c r="C14" s="128" t="s">
        <v>62</v>
      </c>
      <c r="D14" s="128" t="s">
        <v>62</v>
      </c>
      <c r="E14" s="128" t="s">
        <v>62</v>
      </c>
      <c r="F14" s="128" t="s">
        <v>49</v>
      </c>
      <c r="G14" s="133"/>
      <c r="H14" s="133"/>
      <c r="I14" s="120"/>
      <c r="J14" s="120"/>
      <c r="K14" s="120"/>
      <c r="L14" s="120"/>
      <c r="M14" s="120"/>
      <c r="N14" s="65"/>
      <c r="O14" s="18"/>
      <c r="P14" s="104"/>
      <c r="Q14" s="129"/>
      <c r="R14" s="129"/>
      <c r="S14" s="129"/>
      <c r="T14" s="135"/>
      <c r="U14" s="129"/>
      <c r="V14" s="131"/>
      <c r="AE14" s="147"/>
      <c r="AF14" s="147"/>
      <c r="AG14" s="147"/>
    </row>
    <row r="15" spans="1:40" ht="12.4" customHeight="1" x14ac:dyDescent="0.2">
      <c r="A15" s="128" t="s">
        <v>77</v>
      </c>
      <c r="B15" s="128" t="s">
        <v>3</v>
      </c>
      <c r="C15" s="128" t="s">
        <v>3</v>
      </c>
      <c r="D15" s="128" t="s">
        <v>5</v>
      </c>
      <c r="E15" s="128" t="s">
        <v>5</v>
      </c>
      <c r="F15" s="128" t="s">
        <v>5</v>
      </c>
      <c r="G15" s="133"/>
      <c r="H15" s="133"/>
      <c r="I15" s="133"/>
      <c r="J15" s="133"/>
      <c r="K15" s="133"/>
      <c r="L15" s="120"/>
      <c r="M15" s="120"/>
      <c r="N15" s="44"/>
      <c r="O15" s="18"/>
      <c r="P15" s="104"/>
      <c r="Q15" s="129"/>
      <c r="R15" s="129"/>
      <c r="S15" s="129"/>
      <c r="T15" s="135"/>
      <c r="U15" s="129"/>
      <c r="V15" s="131"/>
      <c r="AE15" s="147"/>
      <c r="AF15" s="147"/>
      <c r="AG15" s="147"/>
    </row>
    <row r="16" spans="1:40" ht="12.4" customHeight="1" x14ac:dyDescent="0.2">
      <c r="A16" s="59" t="s">
        <v>48</v>
      </c>
      <c r="B16" s="59" t="s">
        <v>35</v>
      </c>
      <c r="C16" s="59" t="s">
        <v>35</v>
      </c>
      <c r="D16" s="59" t="s">
        <v>25</v>
      </c>
      <c r="E16" s="59" t="s">
        <v>25</v>
      </c>
      <c r="F16" s="59" t="s">
        <v>25</v>
      </c>
      <c r="G16" s="133"/>
      <c r="H16" s="133"/>
      <c r="I16" s="133"/>
      <c r="J16" s="133"/>
      <c r="K16" s="133"/>
      <c r="L16" s="133"/>
      <c r="M16" s="133"/>
      <c r="N16" s="44"/>
      <c r="O16" s="104"/>
      <c r="P16" s="104"/>
      <c r="Q16" s="144"/>
      <c r="R16" s="131"/>
      <c r="S16" s="131"/>
      <c r="T16" s="131"/>
      <c r="U16" s="131"/>
      <c r="V16" s="131"/>
      <c r="AE16" s="147"/>
      <c r="AF16" s="147"/>
      <c r="AG16" s="147"/>
    </row>
    <row r="17" spans="1:35" ht="12.4" customHeight="1" x14ac:dyDescent="0.2">
      <c r="A17" s="65"/>
      <c r="B17" s="65"/>
      <c r="E17" s="65"/>
      <c r="F17" s="65"/>
      <c r="G17" s="65"/>
      <c r="H17" s="65"/>
      <c r="I17" s="65"/>
      <c r="J17" s="65"/>
      <c r="K17" s="65"/>
      <c r="L17" s="65"/>
      <c r="M17" s="65"/>
      <c r="N17" s="44"/>
      <c r="O17" s="104"/>
      <c r="P17" s="104"/>
      <c r="Q17" s="134"/>
      <c r="R17" s="144"/>
      <c r="S17" s="144"/>
      <c r="T17" s="87"/>
      <c r="U17" s="131"/>
      <c r="V17" s="131"/>
      <c r="AE17" s="147"/>
      <c r="AF17" s="147"/>
      <c r="AG17" s="147"/>
    </row>
    <row r="18" spans="1:35" ht="12.4" customHeight="1" x14ac:dyDescent="0.2">
      <c r="A18" s="49">
        <v>1.5249248743057251</v>
      </c>
      <c r="B18" s="111">
        <v>0</v>
      </c>
      <c r="C18" s="99">
        <f t="shared" ref="C18:C135" si="0">IF(B18-I$34&lt;0,0,B18-I$34)</f>
        <v>0</v>
      </c>
      <c r="D18" s="99">
        <f t="shared" ref="D18:D135" si="1">B18/$B$135</f>
        <v>0</v>
      </c>
      <c r="E18" s="99">
        <f t="shared" ref="E18:E135" si="2">C18/$H$30</f>
        <v>0</v>
      </c>
      <c r="F18" s="99">
        <f t="shared" ref="F18:F135" si="3">E18-E17</f>
        <v>0</v>
      </c>
      <c r="G18" s="99"/>
      <c r="H18" s="150" t="s">
        <v>19</v>
      </c>
      <c r="I18" s="21"/>
      <c r="J18" s="21"/>
      <c r="K18" s="21"/>
      <c r="L18" s="21"/>
      <c r="M18" s="26"/>
      <c r="O18" s="49"/>
      <c r="P18" s="104"/>
      <c r="Q18" s="66"/>
      <c r="R18" s="70"/>
      <c r="S18" s="94"/>
      <c r="T18" s="122"/>
      <c r="U18" s="122"/>
      <c r="V18" s="122"/>
      <c r="W18" s="136"/>
      <c r="X18" s="66"/>
      <c r="AG18" s="147"/>
      <c r="AH18" s="147"/>
      <c r="AI18" s="147"/>
    </row>
    <row r="19" spans="1:35" ht="12.4" customHeight="1" x14ac:dyDescent="0.2">
      <c r="A19" s="49">
        <v>1.5977315902709961</v>
      </c>
      <c r="B19" s="111">
        <v>8.4066707698130546E-4</v>
      </c>
      <c r="C19" s="99">
        <f t="shared" si="0"/>
        <v>0</v>
      </c>
      <c r="D19" s="99">
        <f t="shared" si="1"/>
        <v>5.5438149082169172E-4</v>
      </c>
      <c r="E19" s="99">
        <f t="shared" si="2"/>
        <v>0</v>
      </c>
      <c r="F19" s="99">
        <f t="shared" si="3"/>
        <v>0</v>
      </c>
      <c r="G19" s="99"/>
      <c r="H19" s="39" t="s">
        <v>89</v>
      </c>
      <c r="I19" s="39" t="s">
        <v>2</v>
      </c>
      <c r="J19" s="39" t="s">
        <v>84</v>
      </c>
      <c r="K19" s="39"/>
      <c r="L19" s="39" t="s">
        <v>84</v>
      </c>
      <c r="M19" s="39" t="s">
        <v>15</v>
      </c>
      <c r="O19" s="49"/>
      <c r="P19" s="104"/>
      <c r="Q19" s="66"/>
      <c r="R19" s="70"/>
      <c r="S19" s="133"/>
      <c r="T19" s="133"/>
      <c r="U19" s="133"/>
      <c r="V19" s="133"/>
      <c r="W19" s="136"/>
      <c r="X19" s="66"/>
      <c r="AG19" s="147"/>
      <c r="AH19" s="147"/>
      <c r="AI19" s="147"/>
    </row>
    <row r="20" spans="1:35" ht="12.4" customHeight="1" x14ac:dyDescent="0.2">
      <c r="A20" s="49">
        <v>1.8203334808349609</v>
      </c>
      <c r="B20" s="111">
        <v>2.5820487792579589E-3</v>
      </c>
      <c r="C20" s="99">
        <f t="shared" si="0"/>
        <v>0</v>
      </c>
      <c r="D20" s="99">
        <f t="shared" si="1"/>
        <v>1.7027430844079416E-3</v>
      </c>
      <c r="E20" s="99">
        <f t="shared" si="2"/>
        <v>0</v>
      </c>
      <c r="F20" s="99">
        <f t="shared" si="3"/>
        <v>0</v>
      </c>
      <c r="G20" s="99"/>
      <c r="H20" s="128" t="s">
        <v>3</v>
      </c>
      <c r="I20" s="128" t="s">
        <v>3</v>
      </c>
      <c r="J20" s="128" t="s">
        <v>3</v>
      </c>
      <c r="K20" s="128" t="s">
        <v>61</v>
      </c>
      <c r="L20" s="128" t="s">
        <v>39</v>
      </c>
      <c r="M20" s="128" t="s">
        <v>9</v>
      </c>
      <c r="O20" s="49"/>
      <c r="P20" s="104"/>
      <c r="Q20" s="66"/>
      <c r="R20" s="70"/>
      <c r="S20" s="133"/>
      <c r="T20" s="133"/>
      <c r="U20" s="133"/>
      <c r="V20" s="133"/>
      <c r="W20" s="136"/>
      <c r="X20" s="66"/>
      <c r="AG20" s="147"/>
      <c r="AH20" s="147"/>
      <c r="AI20" s="147"/>
    </row>
    <row r="21" spans="1:35" ht="12.4" customHeight="1" x14ac:dyDescent="0.2">
      <c r="A21" s="49">
        <v>2.0241596698760986</v>
      </c>
      <c r="B21" s="111">
        <v>4.2033350114172715E-3</v>
      </c>
      <c r="C21" s="99">
        <f t="shared" si="0"/>
        <v>0</v>
      </c>
      <c r="D21" s="99">
        <f t="shared" si="1"/>
        <v>2.7719072078093753E-3</v>
      </c>
      <c r="E21" s="99">
        <f t="shared" si="2"/>
        <v>0</v>
      </c>
      <c r="F21" s="99">
        <f t="shared" si="3"/>
        <v>0</v>
      </c>
      <c r="G21" s="99"/>
      <c r="H21" s="59" t="s">
        <v>35</v>
      </c>
      <c r="I21" s="59" t="s">
        <v>35</v>
      </c>
      <c r="J21" s="59" t="s">
        <v>35</v>
      </c>
      <c r="K21" s="59" t="s">
        <v>25</v>
      </c>
      <c r="L21" s="59" t="s">
        <v>26</v>
      </c>
      <c r="M21" s="59" t="s">
        <v>18</v>
      </c>
      <c r="O21" s="49"/>
      <c r="P21" s="104"/>
      <c r="Q21" s="66"/>
      <c r="R21" s="70"/>
      <c r="S21" s="133"/>
      <c r="T21" s="133"/>
      <c r="U21" s="133"/>
      <c r="V21" s="133"/>
      <c r="W21" s="136"/>
      <c r="X21" s="66"/>
      <c r="AG21" s="27"/>
      <c r="AH21" s="147"/>
      <c r="AI21" s="147"/>
    </row>
    <row r="22" spans="1:35" ht="12.4" customHeight="1" x14ac:dyDescent="0.2">
      <c r="A22" s="49">
        <v>2.1758403778076172</v>
      </c>
      <c r="B22" s="111">
        <v>4.5636211183092742E-3</v>
      </c>
      <c r="C22" s="99">
        <f t="shared" si="0"/>
        <v>0</v>
      </c>
      <c r="D22" s="99">
        <f t="shared" si="1"/>
        <v>3.0094994182458183E-3</v>
      </c>
      <c r="E22" s="99">
        <f t="shared" si="2"/>
        <v>0</v>
      </c>
      <c r="F22" s="99">
        <f t="shared" si="3"/>
        <v>0</v>
      </c>
      <c r="G22" s="99"/>
      <c r="H22" s="24"/>
      <c r="I22" s="49"/>
      <c r="J22" s="49"/>
      <c r="K22" s="49"/>
      <c r="L22" s="49"/>
      <c r="M22" s="49"/>
      <c r="O22" s="49"/>
      <c r="P22" s="104"/>
      <c r="Q22" s="66"/>
      <c r="R22" s="70"/>
      <c r="S22" s="106"/>
      <c r="T22" s="136"/>
      <c r="U22" s="136"/>
      <c r="V22" s="136"/>
      <c r="W22" s="136"/>
      <c r="X22" s="66"/>
      <c r="AG22" s="27"/>
      <c r="AH22" s="147"/>
      <c r="AI22" s="147"/>
    </row>
    <row r="23" spans="1:35" ht="12.4" customHeight="1" x14ac:dyDescent="0.2">
      <c r="A23" s="49">
        <v>2.3755669593811035</v>
      </c>
      <c r="B23" s="111">
        <v>4.5636211793950911E-3</v>
      </c>
      <c r="C23" s="99">
        <f t="shared" si="0"/>
        <v>0</v>
      </c>
      <c r="D23" s="99">
        <f t="shared" si="1"/>
        <v>3.009499458529121E-3</v>
      </c>
      <c r="E23" s="99">
        <f t="shared" si="2"/>
        <v>0</v>
      </c>
      <c r="F23" s="99">
        <f t="shared" si="3"/>
        <v>0</v>
      </c>
      <c r="G23" s="99"/>
      <c r="H23" s="50">
        <f>I23-J23</f>
        <v>1.620000000000001</v>
      </c>
      <c r="I23" s="50">
        <v>10.91</v>
      </c>
      <c r="J23" s="50">
        <v>9.2899999999999991</v>
      </c>
      <c r="K23" s="14">
        <f>H23/I23</f>
        <v>0.14848762603116417</v>
      </c>
      <c r="L23" s="50">
        <f>M23/J23</f>
        <v>2.6355220667384289</v>
      </c>
      <c r="M23" s="50">
        <v>24.484000000000002</v>
      </c>
      <c r="O23" s="54"/>
      <c r="P23" s="104"/>
      <c r="Q23" s="66"/>
      <c r="R23" s="70"/>
      <c r="S23" s="33"/>
      <c r="T23" s="33"/>
      <c r="U23" s="33"/>
      <c r="V23" s="33"/>
      <c r="W23" s="136"/>
      <c r="X23" s="66"/>
      <c r="AG23" s="27"/>
      <c r="AH23" s="147"/>
      <c r="AI23" s="147"/>
    </row>
    <row r="24" spans="1:35" ht="12.4" customHeight="1" x14ac:dyDescent="0.2">
      <c r="A24" s="49">
        <v>2.5893959999084473</v>
      </c>
      <c r="B24" s="111">
        <v>1.0508337986461331E-2</v>
      </c>
      <c r="C24" s="99">
        <f t="shared" si="0"/>
        <v>0</v>
      </c>
      <c r="D24" s="99">
        <f t="shared" si="1"/>
        <v>6.9297683214995173E-3</v>
      </c>
      <c r="E24" s="99">
        <f t="shared" si="2"/>
        <v>0</v>
      </c>
      <c r="F24" s="99">
        <f t="shared" si="3"/>
        <v>0</v>
      </c>
      <c r="G24" s="99"/>
      <c r="O24" s="49"/>
      <c r="P24" s="104"/>
      <c r="Q24" s="66"/>
      <c r="R24" s="70"/>
      <c r="S24" s="131"/>
      <c r="T24" s="131"/>
      <c r="U24" s="131"/>
      <c r="V24" s="131"/>
      <c r="W24" s="136"/>
      <c r="X24" s="66"/>
      <c r="AG24" s="27"/>
      <c r="AH24" s="147"/>
      <c r="AI24" s="147"/>
    </row>
    <row r="25" spans="1:35" ht="12.4" customHeight="1" x14ac:dyDescent="0.2">
      <c r="A25" s="49">
        <v>2.8291335105895996</v>
      </c>
      <c r="B25" s="111">
        <v>1.2489911189206549E-2</v>
      </c>
      <c r="C25" s="99">
        <f t="shared" si="0"/>
        <v>0</v>
      </c>
      <c r="D25" s="99">
        <f t="shared" si="1"/>
        <v>8.236525224904024E-3</v>
      </c>
      <c r="E25" s="99">
        <f t="shared" si="2"/>
        <v>0</v>
      </c>
      <c r="F25" s="99">
        <f t="shared" si="3"/>
        <v>0</v>
      </c>
      <c r="G25" s="99"/>
      <c r="H25" s="150" t="s">
        <v>76</v>
      </c>
      <c r="I25" s="21"/>
      <c r="J25" s="21"/>
      <c r="K25" s="21"/>
      <c r="L25" s="21"/>
      <c r="M25" s="26"/>
      <c r="O25" s="49"/>
      <c r="P25" s="104"/>
      <c r="Q25" s="66"/>
      <c r="R25" s="70"/>
      <c r="S25" s="94"/>
      <c r="T25" s="122"/>
      <c r="U25" s="122"/>
      <c r="V25" s="122"/>
      <c r="W25" s="136"/>
      <c r="X25" s="66"/>
      <c r="AG25" s="156"/>
      <c r="AH25" s="147"/>
      <c r="AI25" s="147"/>
    </row>
    <row r="26" spans="1:35" ht="12.4" customHeight="1" x14ac:dyDescent="0.2">
      <c r="A26" s="49">
        <v>3.0863349437713623</v>
      </c>
      <c r="B26" s="111">
        <v>1.4051149873051821E-2</v>
      </c>
      <c r="C26" s="99">
        <f t="shared" si="0"/>
        <v>0</v>
      </c>
      <c r="D26" s="99">
        <f t="shared" si="1"/>
        <v>9.2660907363625918E-3</v>
      </c>
      <c r="E26" s="99">
        <f t="shared" si="2"/>
        <v>0</v>
      </c>
      <c r="F26" s="99">
        <f t="shared" si="3"/>
        <v>0</v>
      </c>
      <c r="G26" s="99"/>
      <c r="H26" s="39" t="s">
        <v>89</v>
      </c>
      <c r="I26" s="39" t="s">
        <v>2</v>
      </c>
      <c r="J26" s="39" t="s">
        <v>84</v>
      </c>
      <c r="K26" s="39"/>
      <c r="L26" s="39" t="s">
        <v>84</v>
      </c>
      <c r="M26" s="39" t="s">
        <v>15</v>
      </c>
      <c r="O26" s="49"/>
      <c r="P26" s="104"/>
      <c r="Q26" s="66"/>
      <c r="R26" s="70"/>
      <c r="S26" s="133"/>
      <c r="T26" s="133"/>
      <c r="U26" s="133"/>
      <c r="V26" s="133"/>
      <c r="W26" s="136"/>
      <c r="X26" s="66"/>
      <c r="AG26" s="156"/>
      <c r="AH26" s="147"/>
      <c r="AI26" s="147"/>
    </row>
    <row r="27" spans="1:35" ht="12.4" customHeight="1" x14ac:dyDescent="0.2">
      <c r="A27" s="49">
        <v>3.3701012134552002</v>
      </c>
      <c r="B27" s="111">
        <v>1.5192054784975652E-2</v>
      </c>
      <c r="C27" s="99">
        <f t="shared" si="0"/>
        <v>0</v>
      </c>
      <c r="D27" s="99">
        <f t="shared" si="1"/>
        <v>1.0018465348473386E-2</v>
      </c>
      <c r="E27" s="99">
        <f t="shared" si="2"/>
        <v>0</v>
      </c>
      <c r="F27" s="99">
        <f t="shared" si="3"/>
        <v>0</v>
      </c>
      <c r="G27" s="99"/>
      <c r="H27" s="128" t="s">
        <v>3</v>
      </c>
      <c r="I27" s="128" t="s">
        <v>3</v>
      </c>
      <c r="J27" s="128" t="s">
        <v>3</v>
      </c>
      <c r="K27" s="128" t="s">
        <v>61</v>
      </c>
      <c r="L27" s="128" t="s">
        <v>39</v>
      </c>
      <c r="M27" s="128" t="s">
        <v>9</v>
      </c>
      <c r="O27" s="49"/>
      <c r="P27" s="104"/>
      <c r="Q27" s="66"/>
      <c r="R27" s="70"/>
      <c r="S27" s="133"/>
      <c r="T27" s="133"/>
      <c r="U27" s="133"/>
      <c r="V27" s="133"/>
      <c r="W27" s="136"/>
      <c r="X27" s="66"/>
      <c r="AG27" s="156"/>
      <c r="AH27" s="147"/>
      <c r="AI27" s="147"/>
    </row>
    <row r="28" spans="1:35" ht="12.4" customHeight="1" x14ac:dyDescent="0.2">
      <c r="A28" s="49">
        <v>3.6953539848327637</v>
      </c>
      <c r="B28" s="111">
        <v>1.6513102155096986E-2</v>
      </c>
      <c r="C28" s="99">
        <f t="shared" si="0"/>
        <v>0</v>
      </c>
      <c r="D28" s="99">
        <f t="shared" si="1"/>
        <v>1.0889635673263239E-2</v>
      </c>
      <c r="E28" s="99">
        <f t="shared" si="2"/>
        <v>0</v>
      </c>
      <c r="F28" s="99">
        <f t="shared" si="3"/>
        <v>0</v>
      </c>
      <c r="G28" s="99"/>
      <c r="H28" s="59" t="s">
        <v>35</v>
      </c>
      <c r="I28" s="59" t="s">
        <v>35</v>
      </c>
      <c r="J28" s="59" t="s">
        <v>35</v>
      </c>
      <c r="K28" s="59" t="s">
        <v>25</v>
      </c>
      <c r="L28" s="59" t="s">
        <v>26</v>
      </c>
      <c r="M28" s="59" t="s">
        <v>18</v>
      </c>
      <c r="O28" s="49"/>
      <c r="P28" s="104"/>
      <c r="Q28" s="66"/>
      <c r="R28" s="70"/>
      <c r="S28" s="133"/>
      <c r="T28" s="133"/>
      <c r="U28" s="133"/>
      <c r="V28" s="133"/>
      <c r="W28" s="136"/>
      <c r="X28" s="66"/>
      <c r="AG28" s="156"/>
      <c r="AH28" s="147"/>
      <c r="AI28" s="147"/>
    </row>
    <row r="29" spans="1:35" ht="12.4" customHeight="1" x14ac:dyDescent="0.2">
      <c r="A29" s="49">
        <v>4.0451216697692871</v>
      </c>
      <c r="B29" s="111">
        <v>1.6993484315683288E-2</v>
      </c>
      <c r="C29" s="99">
        <f t="shared" si="0"/>
        <v>0</v>
      </c>
      <c r="D29" s="99">
        <f t="shared" si="1"/>
        <v>1.1206425738726813E-2</v>
      </c>
      <c r="E29" s="99">
        <f t="shared" si="2"/>
        <v>0</v>
      </c>
      <c r="F29" s="99">
        <f t="shared" si="3"/>
        <v>0</v>
      </c>
      <c r="G29" s="99"/>
      <c r="H29" s="24"/>
      <c r="I29" s="49"/>
      <c r="J29" s="49"/>
      <c r="K29" s="49"/>
      <c r="L29" s="49"/>
      <c r="M29" s="49"/>
      <c r="O29" s="49"/>
      <c r="P29" s="104"/>
      <c r="Q29" s="66"/>
      <c r="R29" s="70"/>
      <c r="S29" s="106"/>
      <c r="T29" s="136"/>
      <c r="U29" s="136"/>
      <c r="V29" s="136"/>
      <c r="W29" s="136"/>
      <c r="X29" s="66"/>
      <c r="AG29" s="146"/>
      <c r="AH29" s="147"/>
      <c r="AI29" s="147"/>
    </row>
    <row r="30" spans="1:35" ht="12.4" customHeight="1" x14ac:dyDescent="0.2">
      <c r="A30" s="49">
        <v>4.4270291328430176</v>
      </c>
      <c r="B30" s="111">
        <v>1.7593961059349954E-2</v>
      </c>
      <c r="C30" s="99">
        <f t="shared" si="0"/>
        <v>0</v>
      </c>
      <c r="D30" s="99">
        <f t="shared" si="1"/>
        <v>1.1602412689414884E-2</v>
      </c>
      <c r="E30" s="99">
        <f t="shared" si="2"/>
        <v>0</v>
      </c>
      <c r="F30" s="99">
        <f t="shared" si="3"/>
        <v>0</v>
      </c>
      <c r="G30" s="99"/>
      <c r="H30" s="50">
        <f>C135</f>
        <v>1.4885999999999999</v>
      </c>
      <c r="I30" s="50">
        <v>10.775627168983757</v>
      </c>
      <c r="J30" s="50">
        <f>I30-H30</f>
        <v>9.2870271689837569</v>
      </c>
      <c r="K30" s="14">
        <f>H30/I30</f>
        <v>0.13814509138593267</v>
      </c>
      <c r="L30" s="50">
        <f>M30/J30</f>
        <v>2.6363657125684052</v>
      </c>
      <c r="M30" s="50">
        <f>M23</f>
        <v>24.484000000000002</v>
      </c>
      <c r="N30" s="98"/>
      <c r="O30" s="99"/>
      <c r="P30" s="104"/>
      <c r="Q30" s="131"/>
      <c r="R30" s="70"/>
      <c r="S30" s="33"/>
      <c r="T30" s="33"/>
      <c r="U30" s="33"/>
      <c r="V30" s="33"/>
      <c r="W30" s="20"/>
      <c r="X30" s="25"/>
    </row>
    <row r="31" spans="1:35" ht="12.4" customHeight="1" x14ac:dyDescent="0.2">
      <c r="A31" s="49">
        <v>4.8337798118591309</v>
      </c>
      <c r="B31" s="111">
        <v>1.8074341959410021E-2</v>
      </c>
      <c r="C31" s="99">
        <f t="shared" si="0"/>
        <v>0</v>
      </c>
      <c r="D31" s="99">
        <f t="shared" si="1"/>
        <v>1.1919201923619055E-2</v>
      </c>
      <c r="E31" s="99">
        <f t="shared" si="2"/>
        <v>0</v>
      </c>
      <c r="F31" s="99">
        <f t="shared" si="3"/>
        <v>0</v>
      </c>
      <c r="G31" s="99"/>
      <c r="H31" s="24"/>
      <c r="I31" s="49"/>
      <c r="J31" s="49"/>
      <c r="K31" s="49"/>
      <c r="L31" s="49"/>
      <c r="M31" s="140"/>
      <c r="O31" s="143"/>
      <c r="P31" s="104"/>
      <c r="Q31" s="33"/>
      <c r="R31" s="131"/>
      <c r="S31" s="131"/>
      <c r="T31" s="131"/>
      <c r="U31" s="131"/>
      <c r="V31" s="131"/>
    </row>
    <row r="32" spans="1:35" ht="12.4" customHeight="1" x14ac:dyDescent="0.2">
      <c r="A32" s="49">
        <v>5.2766876220703125</v>
      </c>
      <c r="B32" s="111">
        <v>1.85547232796455E-2</v>
      </c>
      <c r="C32" s="99">
        <f t="shared" si="0"/>
        <v>0</v>
      </c>
      <c r="D32" s="99">
        <f t="shared" si="1"/>
        <v>1.2235991434909693E-2</v>
      </c>
      <c r="E32" s="99">
        <f t="shared" si="2"/>
        <v>0</v>
      </c>
      <c r="F32" s="99">
        <f t="shared" si="3"/>
        <v>0</v>
      </c>
      <c r="G32" s="99"/>
      <c r="I32" s="164" t="s">
        <v>36</v>
      </c>
      <c r="J32" s="165"/>
      <c r="K32" s="164" t="s">
        <v>64</v>
      </c>
      <c r="L32" s="165"/>
      <c r="M32" s="106"/>
      <c r="N32" s="140"/>
      <c r="O32" s="143"/>
      <c r="P32" s="104"/>
      <c r="Q32" s="33"/>
      <c r="R32" s="131"/>
      <c r="S32" s="131"/>
      <c r="T32" s="131"/>
      <c r="U32" s="131"/>
      <c r="V32" s="131"/>
    </row>
    <row r="33" spans="1:22" ht="12.4" customHeight="1" x14ac:dyDescent="0.2">
      <c r="A33" s="49">
        <v>5.7668213844299316</v>
      </c>
      <c r="B33" s="111">
        <v>1.915519913627518E-2</v>
      </c>
      <c r="C33" s="99">
        <f t="shared" si="0"/>
        <v>0</v>
      </c>
      <c r="D33" s="99">
        <f t="shared" si="1"/>
        <v>1.2631977800637439E-2</v>
      </c>
      <c r="E33" s="99">
        <f t="shared" si="2"/>
        <v>0</v>
      </c>
      <c r="F33" s="99">
        <f t="shared" si="3"/>
        <v>0</v>
      </c>
      <c r="G33" s="99"/>
      <c r="I33" s="166" t="s">
        <v>35</v>
      </c>
      <c r="J33" s="167"/>
      <c r="K33" s="166" t="s">
        <v>48</v>
      </c>
      <c r="L33" s="167"/>
      <c r="M33" s="131"/>
      <c r="N33" s="140"/>
      <c r="O33" s="143"/>
      <c r="P33" s="104"/>
      <c r="Q33" s="33"/>
      <c r="R33" s="131"/>
      <c r="S33" s="131"/>
      <c r="T33" s="131"/>
      <c r="U33" s="131"/>
      <c r="V33" s="131"/>
    </row>
    <row r="34" spans="1:22" ht="12.4" customHeight="1" x14ac:dyDescent="0.2">
      <c r="A34" s="49">
        <v>6.3062310218811035</v>
      </c>
      <c r="B34" s="111">
        <v>1.95154834924363E-2</v>
      </c>
      <c r="C34" s="99">
        <f t="shared" si="0"/>
        <v>0</v>
      </c>
      <c r="D34" s="99">
        <f t="shared" si="1"/>
        <v>1.2869568856546932E-2</v>
      </c>
      <c r="E34" s="99">
        <f t="shared" si="2"/>
        <v>0</v>
      </c>
      <c r="F34" s="99">
        <f t="shared" si="3"/>
        <v>0</v>
      </c>
      <c r="G34" s="99"/>
      <c r="I34" s="168">
        <v>2.780538311495168E-2</v>
      </c>
      <c r="J34" s="169"/>
      <c r="K34" s="168">
        <f>LOOKUP(I34,B$18:B$135,A$18:A$135)</f>
        <v>48.779834747314453</v>
      </c>
      <c r="L34" s="169"/>
      <c r="M34" s="74"/>
      <c r="N34" s="140"/>
      <c r="O34" s="143"/>
      <c r="P34" s="104"/>
      <c r="Q34" s="33"/>
      <c r="R34" s="131"/>
      <c r="S34" s="131"/>
      <c r="T34" s="131"/>
      <c r="U34" s="131"/>
      <c r="V34" s="131"/>
    </row>
    <row r="35" spans="1:22" ht="12.4" customHeight="1" x14ac:dyDescent="0.2">
      <c r="A35" s="49">
        <v>6.8991799354553223</v>
      </c>
      <c r="B35" s="111">
        <v>1.9935817591160834E-2</v>
      </c>
      <c r="C35" s="99">
        <f t="shared" si="0"/>
        <v>0</v>
      </c>
      <c r="D35" s="99">
        <f t="shared" si="1"/>
        <v>1.3146759971406401E-2</v>
      </c>
      <c r="E35" s="99">
        <f t="shared" si="2"/>
        <v>0</v>
      </c>
      <c r="F35" s="99">
        <f t="shared" si="3"/>
        <v>0</v>
      </c>
      <c r="G35" s="99"/>
      <c r="H35" s="24"/>
      <c r="I35" s="49"/>
      <c r="J35" s="49"/>
      <c r="K35" s="136"/>
      <c r="L35" s="136"/>
      <c r="M35" s="136"/>
      <c r="N35" s="140"/>
      <c r="O35" s="143"/>
      <c r="P35" s="104"/>
      <c r="Q35" s="33"/>
      <c r="R35" s="131"/>
      <c r="S35" s="131"/>
      <c r="T35" s="131"/>
      <c r="U35" s="131"/>
      <c r="V35" s="131"/>
    </row>
    <row r="36" spans="1:22" ht="12.4" customHeight="1" x14ac:dyDescent="0.2">
      <c r="A36" s="49">
        <v>7.5447664260864258</v>
      </c>
      <c r="B36" s="111">
        <v>2.0356151829943842E-2</v>
      </c>
      <c r="C36" s="99">
        <f t="shared" si="0"/>
        <v>0</v>
      </c>
      <c r="D36" s="99">
        <f t="shared" si="1"/>
        <v>1.3423951178628029E-2</v>
      </c>
      <c r="E36" s="99">
        <f t="shared" si="2"/>
        <v>0</v>
      </c>
      <c r="F36" s="99">
        <f t="shared" si="3"/>
        <v>0</v>
      </c>
      <c r="G36" s="99"/>
      <c r="H36" s="24"/>
      <c r="I36" s="49"/>
      <c r="J36" s="49"/>
      <c r="K36" s="49"/>
      <c r="L36" s="49"/>
      <c r="M36" s="49"/>
      <c r="N36" s="140"/>
      <c r="O36" s="143"/>
      <c r="P36" s="104"/>
      <c r="Q36" s="33"/>
      <c r="R36" s="131"/>
      <c r="S36" s="131"/>
      <c r="T36" s="131"/>
      <c r="U36" s="131"/>
      <c r="V36" s="131"/>
    </row>
    <row r="37" spans="1:22" ht="12.4" customHeight="1" x14ac:dyDescent="0.2">
      <c r="A37" s="49">
        <v>8.2520084381103516</v>
      </c>
      <c r="B37" s="111">
        <v>2.0716437376601959E-2</v>
      </c>
      <c r="C37" s="99">
        <f t="shared" si="0"/>
        <v>0</v>
      </c>
      <c r="D37" s="99">
        <f t="shared" si="1"/>
        <v>1.3661543019615845E-2</v>
      </c>
      <c r="E37" s="99">
        <f t="shared" si="2"/>
        <v>0</v>
      </c>
      <c r="F37" s="99">
        <f t="shared" si="3"/>
        <v>0</v>
      </c>
      <c r="G37" s="99"/>
      <c r="H37" s="24"/>
      <c r="I37" s="49"/>
      <c r="J37" s="49"/>
      <c r="K37" s="49"/>
      <c r="L37" s="49"/>
      <c r="M37" s="49"/>
      <c r="N37" s="140"/>
      <c r="O37" s="143"/>
      <c r="P37" s="104"/>
      <c r="Q37" s="33"/>
      <c r="R37" s="131"/>
      <c r="S37" s="131"/>
      <c r="T37" s="131"/>
      <c r="U37" s="131"/>
      <c r="V37" s="131"/>
    </row>
    <row r="38" spans="1:22" ht="12.4" customHeight="1" x14ac:dyDescent="0.2">
      <c r="A38" s="49">
        <v>9.0297622680664062</v>
      </c>
      <c r="B38" s="111">
        <v>2.0956628620296663E-2</v>
      </c>
      <c r="C38" s="99">
        <f t="shared" si="0"/>
        <v>0</v>
      </c>
      <c r="D38" s="99">
        <f t="shared" si="1"/>
        <v>1.3819938160103485E-2</v>
      </c>
      <c r="E38" s="99">
        <f t="shared" si="2"/>
        <v>0</v>
      </c>
      <c r="F38" s="99">
        <f t="shared" si="3"/>
        <v>0</v>
      </c>
      <c r="G38" s="99"/>
      <c r="N38" s="140"/>
      <c r="O38" s="143"/>
      <c r="P38" s="104"/>
      <c r="Q38" s="33"/>
      <c r="R38" s="131"/>
      <c r="S38" s="131"/>
      <c r="T38" s="131"/>
      <c r="U38" s="131"/>
      <c r="V38" s="131"/>
    </row>
    <row r="39" spans="1:22" ht="12.4" customHeight="1" x14ac:dyDescent="0.2">
      <c r="A39" s="49">
        <v>9.8781089782714844</v>
      </c>
      <c r="B39" s="111">
        <v>2.1437009707101357E-2</v>
      </c>
      <c r="C39" s="99">
        <f t="shared" si="0"/>
        <v>0</v>
      </c>
      <c r="D39" s="99">
        <f t="shared" si="1"/>
        <v>1.4136727517457195E-2</v>
      </c>
      <c r="E39" s="99">
        <f t="shared" si="2"/>
        <v>0</v>
      </c>
      <c r="F39" s="99">
        <f t="shared" si="3"/>
        <v>0</v>
      </c>
      <c r="G39" s="99"/>
      <c r="N39" s="140"/>
      <c r="O39" s="143"/>
      <c r="P39" s="104"/>
      <c r="Q39" s="33"/>
      <c r="R39" s="131"/>
      <c r="S39" s="131"/>
      <c r="T39" s="131"/>
      <c r="U39" s="131"/>
      <c r="V39" s="131"/>
    </row>
    <row r="40" spans="1:22" ht="12.4" customHeight="1" x14ac:dyDescent="0.2">
      <c r="A40" s="49">
        <v>10.786225318908691</v>
      </c>
      <c r="B40" s="111">
        <v>2.1857344272687464E-2</v>
      </c>
      <c r="C40" s="99">
        <f t="shared" si="0"/>
        <v>0</v>
      </c>
      <c r="D40" s="99">
        <f t="shared" si="1"/>
        <v>1.441391894019052E-2</v>
      </c>
      <c r="E40" s="99">
        <f t="shared" si="2"/>
        <v>0</v>
      </c>
      <c r="F40" s="99">
        <f t="shared" si="3"/>
        <v>0</v>
      </c>
      <c r="G40" s="99"/>
      <c r="N40" s="140"/>
      <c r="O40" s="143"/>
      <c r="P40" s="104"/>
      <c r="Q40" s="33"/>
      <c r="R40" s="131"/>
      <c r="S40" s="131"/>
      <c r="T40" s="131"/>
      <c r="U40" s="131"/>
      <c r="V40" s="131"/>
    </row>
    <row r="41" spans="1:22" ht="12.4" customHeight="1" x14ac:dyDescent="0.2">
      <c r="A41" s="49">
        <v>11.885378837585449</v>
      </c>
      <c r="B41" s="111">
        <v>2.2037486135636462E-2</v>
      </c>
      <c r="C41" s="99">
        <f t="shared" si="0"/>
        <v>0</v>
      </c>
      <c r="D41" s="99">
        <f t="shared" si="1"/>
        <v>1.4532714260330416E-2</v>
      </c>
      <c r="E41" s="99">
        <f t="shared" si="2"/>
        <v>0</v>
      </c>
      <c r="F41" s="99">
        <f t="shared" si="3"/>
        <v>0</v>
      </c>
      <c r="G41" s="99"/>
      <c r="N41" s="140"/>
      <c r="O41" s="143"/>
      <c r="P41" s="104"/>
      <c r="Q41" s="33"/>
      <c r="R41" s="131"/>
      <c r="S41" s="131"/>
      <c r="T41" s="131"/>
      <c r="U41" s="131"/>
      <c r="V41" s="131"/>
    </row>
    <row r="42" spans="1:22" ht="12.4" customHeight="1" x14ac:dyDescent="0.2">
      <c r="A42" s="49">
        <v>12.882453918457031</v>
      </c>
      <c r="B42" s="111">
        <v>2.2397773689799332E-2</v>
      </c>
      <c r="C42" s="99">
        <f t="shared" si="0"/>
        <v>0</v>
      </c>
      <c r="D42" s="99">
        <f t="shared" si="1"/>
        <v>1.4770307425175806E-2</v>
      </c>
      <c r="E42" s="99">
        <f t="shared" si="2"/>
        <v>0</v>
      </c>
      <c r="F42" s="99">
        <f t="shared" si="3"/>
        <v>0</v>
      </c>
      <c r="G42" s="99"/>
      <c r="H42" s="24"/>
      <c r="I42" s="49"/>
      <c r="J42" s="49"/>
      <c r="K42" s="49"/>
      <c r="L42" s="49"/>
      <c r="M42" s="49"/>
      <c r="N42" s="140"/>
      <c r="O42" s="143"/>
      <c r="P42" s="104"/>
      <c r="Q42" s="33"/>
      <c r="R42" s="131"/>
      <c r="S42" s="131"/>
      <c r="T42" s="131"/>
      <c r="U42" s="131"/>
      <c r="V42" s="131"/>
    </row>
    <row r="43" spans="1:22" ht="12.4" customHeight="1" x14ac:dyDescent="0.2">
      <c r="A43" s="49">
        <v>14.181661605834961</v>
      </c>
      <c r="B43" s="111">
        <v>2.2698012318406527E-2</v>
      </c>
      <c r="C43" s="99">
        <f t="shared" si="0"/>
        <v>0</v>
      </c>
      <c r="D43" s="99">
        <f t="shared" si="1"/>
        <v>1.496830106985046E-2</v>
      </c>
      <c r="E43" s="99">
        <f t="shared" si="2"/>
        <v>0</v>
      </c>
      <c r="F43" s="99">
        <f t="shared" si="3"/>
        <v>0</v>
      </c>
      <c r="G43" s="99"/>
      <c r="H43" s="24"/>
      <c r="I43" s="49"/>
      <c r="J43" s="49"/>
      <c r="K43" s="49"/>
      <c r="L43" s="49"/>
      <c r="M43" s="35"/>
      <c r="N43" s="140"/>
      <c r="O43" s="143"/>
      <c r="P43" s="104"/>
      <c r="Q43" s="33"/>
      <c r="R43" s="131"/>
      <c r="S43" s="131"/>
      <c r="T43" s="131"/>
      <c r="U43" s="131"/>
      <c r="V43" s="131"/>
    </row>
    <row r="44" spans="1:22" ht="12.4" customHeight="1" x14ac:dyDescent="0.2">
      <c r="A44" s="49">
        <v>15.471358299255371</v>
      </c>
      <c r="B44" s="111">
        <v>2.3058296978027661E-2</v>
      </c>
      <c r="C44" s="99">
        <f t="shared" si="0"/>
        <v>0</v>
      </c>
      <c r="D44" s="99">
        <f t="shared" si="1"/>
        <v>1.5205892325877955E-2</v>
      </c>
      <c r="E44" s="99">
        <f t="shared" si="2"/>
        <v>0</v>
      </c>
      <c r="F44" s="99">
        <f t="shared" si="3"/>
        <v>0</v>
      </c>
      <c r="G44" s="99"/>
      <c r="H44" s="24"/>
      <c r="I44" s="49"/>
      <c r="J44" s="49"/>
      <c r="K44" s="49"/>
      <c r="L44" s="49"/>
      <c r="M44" s="35"/>
      <c r="N44" s="140"/>
      <c r="O44" s="143"/>
      <c r="P44" s="104"/>
      <c r="Q44" s="33"/>
      <c r="R44" s="131"/>
      <c r="S44" s="131"/>
      <c r="T44" s="131"/>
      <c r="U44" s="131"/>
      <c r="V44" s="131"/>
    </row>
    <row r="45" spans="1:22" ht="12.4" customHeight="1" x14ac:dyDescent="0.2">
      <c r="A45" s="49">
        <v>16.87403678894043</v>
      </c>
      <c r="B45" s="111">
        <v>2.3418584508847453E-2</v>
      </c>
      <c r="C45" s="99">
        <f t="shared" si="0"/>
        <v>0</v>
      </c>
      <c r="D45" s="99">
        <f t="shared" si="1"/>
        <v>1.5443485475329654E-2</v>
      </c>
      <c r="E45" s="99">
        <f t="shared" si="2"/>
        <v>0</v>
      </c>
      <c r="F45" s="99">
        <f t="shared" si="3"/>
        <v>0</v>
      </c>
      <c r="G45" s="99"/>
      <c r="H45" s="24"/>
      <c r="I45" s="49"/>
      <c r="J45" s="49"/>
      <c r="K45" s="49"/>
      <c r="L45" s="49"/>
      <c r="M45" s="35"/>
      <c r="N45" s="140"/>
      <c r="O45" s="143"/>
      <c r="P45" s="104"/>
      <c r="Q45" s="33"/>
      <c r="R45" s="131"/>
      <c r="S45" s="131"/>
      <c r="T45" s="131"/>
      <c r="U45" s="131"/>
      <c r="V45" s="131"/>
    </row>
    <row r="46" spans="1:22" ht="12.4" customHeight="1" x14ac:dyDescent="0.2">
      <c r="A46" s="49">
        <v>18.469144821166992</v>
      </c>
      <c r="B46" s="111">
        <v>2.371882309076849E-2</v>
      </c>
      <c r="C46" s="99">
        <f t="shared" si="0"/>
        <v>0</v>
      </c>
      <c r="D46" s="99">
        <f t="shared" si="1"/>
        <v>1.5641479089216922E-2</v>
      </c>
      <c r="E46" s="99">
        <f t="shared" si="2"/>
        <v>0</v>
      </c>
      <c r="F46" s="99">
        <f t="shared" si="3"/>
        <v>0</v>
      </c>
      <c r="G46" s="99"/>
      <c r="H46" s="24"/>
      <c r="I46" s="49"/>
      <c r="J46" s="49"/>
      <c r="K46" s="49"/>
      <c r="L46" s="49"/>
      <c r="M46" s="35"/>
      <c r="N46" s="140"/>
      <c r="O46" s="143"/>
      <c r="P46" s="104"/>
      <c r="Q46" s="33"/>
      <c r="R46" s="131"/>
      <c r="S46" s="131"/>
      <c r="T46" s="131"/>
      <c r="U46" s="131"/>
      <c r="V46" s="131"/>
    </row>
    <row r="47" spans="1:22" ht="12.4" customHeight="1" x14ac:dyDescent="0.2">
      <c r="A47" s="49">
        <v>20.256845474243164</v>
      </c>
      <c r="B47" s="111">
        <v>2.4259250278616362E-2</v>
      </c>
      <c r="C47" s="99">
        <f t="shared" si="0"/>
        <v>0</v>
      </c>
      <c r="D47" s="99">
        <f t="shared" si="1"/>
        <v>1.5997866104104554E-2</v>
      </c>
      <c r="E47" s="99">
        <f t="shared" si="2"/>
        <v>0</v>
      </c>
      <c r="F47" s="99">
        <f t="shared" si="3"/>
        <v>0</v>
      </c>
      <c r="G47" s="99"/>
      <c r="H47" s="24"/>
      <c r="I47" s="49"/>
      <c r="J47" s="49"/>
      <c r="K47" s="49"/>
      <c r="L47" s="49"/>
      <c r="M47" s="35"/>
      <c r="N47" s="140"/>
      <c r="O47" s="143"/>
      <c r="P47" s="104"/>
      <c r="Q47" s="33"/>
      <c r="R47" s="131"/>
      <c r="S47" s="131"/>
      <c r="T47" s="131"/>
      <c r="U47" s="131"/>
      <c r="V47" s="131"/>
    </row>
    <row r="48" spans="1:22" ht="12.4" customHeight="1" x14ac:dyDescent="0.2">
      <c r="A48" s="49">
        <v>22.157611846923828</v>
      </c>
      <c r="B48" s="111">
        <v>2.4559488697135853E-2</v>
      </c>
      <c r="C48" s="99">
        <f t="shared" si="0"/>
        <v>0</v>
      </c>
      <c r="D48" s="99">
        <f t="shared" si="1"/>
        <v>1.6195859610235976E-2</v>
      </c>
      <c r="E48" s="99">
        <f t="shared" si="2"/>
        <v>0</v>
      </c>
      <c r="F48" s="99">
        <f t="shared" si="3"/>
        <v>0</v>
      </c>
      <c r="G48" s="99"/>
      <c r="H48" s="24"/>
      <c r="I48" s="49"/>
      <c r="J48" s="49"/>
      <c r="K48" s="49"/>
      <c r="L48" s="49"/>
      <c r="M48" s="35"/>
      <c r="N48" s="140"/>
      <c r="O48" s="143"/>
      <c r="P48" s="104"/>
      <c r="Q48" s="33"/>
      <c r="R48" s="131"/>
      <c r="S48" s="131"/>
      <c r="T48" s="131"/>
      <c r="U48" s="131"/>
      <c r="V48" s="131"/>
    </row>
    <row r="49" spans="1:22" ht="12.4" customHeight="1" x14ac:dyDescent="0.2">
      <c r="A49" s="49">
        <v>24.253019332885742</v>
      </c>
      <c r="B49" s="111">
        <v>2.503986885021741E-2</v>
      </c>
      <c r="C49" s="99">
        <f t="shared" si="0"/>
        <v>0</v>
      </c>
      <c r="D49" s="99">
        <f t="shared" si="1"/>
        <v>1.651264835184198E-2</v>
      </c>
      <c r="E49" s="99">
        <f t="shared" si="2"/>
        <v>0</v>
      </c>
      <c r="F49" s="99">
        <f t="shared" si="3"/>
        <v>0</v>
      </c>
      <c r="G49" s="99"/>
      <c r="H49" s="24"/>
      <c r="I49" s="49"/>
      <c r="J49" s="49"/>
      <c r="K49" s="49"/>
      <c r="L49" s="35"/>
      <c r="M49" s="35"/>
      <c r="N49" s="140"/>
      <c r="O49" s="143"/>
      <c r="P49" s="104"/>
      <c r="Q49" s="33"/>
      <c r="R49" s="131"/>
      <c r="S49" s="131"/>
      <c r="T49" s="131"/>
      <c r="U49" s="131"/>
      <c r="V49" s="131"/>
    </row>
    <row r="50" spans="1:22" ht="12.4" customHeight="1" x14ac:dyDescent="0.2">
      <c r="A50" s="49">
        <v>26.609401702880859</v>
      </c>
      <c r="B50" s="111">
        <v>2.5940583288768127E-2</v>
      </c>
      <c r="C50" s="99">
        <f t="shared" si="0"/>
        <v>0</v>
      </c>
      <c r="D50" s="99">
        <f t="shared" si="1"/>
        <v>1.7106628331456993E-2</v>
      </c>
      <c r="E50" s="99">
        <f t="shared" si="2"/>
        <v>0</v>
      </c>
      <c r="F50" s="99">
        <f t="shared" si="3"/>
        <v>0</v>
      </c>
      <c r="G50" s="99"/>
      <c r="H50" s="24"/>
      <c r="I50" s="49"/>
      <c r="J50" s="49"/>
      <c r="K50" s="49"/>
      <c r="L50" s="35"/>
      <c r="M50" s="35"/>
      <c r="N50" s="140"/>
      <c r="O50" s="143"/>
      <c r="P50" s="104"/>
      <c r="Q50" s="33"/>
      <c r="R50" s="131"/>
      <c r="S50" s="131"/>
      <c r="T50" s="131"/>
      <c r="U50" s="131"/>
      <c r="V50" s="131"/>
    </row>
    <row r="51" spans="1:22" ht="12.4" customHeight="1" x14ac:dyDescent="0.2">
      <c r="A51" s="49">
        <v>28.998825073242188</v>
      </c>
      <c r="B51" s="111">
        <v>2.7081489601276671E-2</v>
      </c>
      <c r="C51" s="99">
        <f t="shared" si="0"/>
        <v>0</v>
      </c>
      <c r="D51" s="99">
        <f t="shared" si="1"/>
        <v>1.7859003867189353E-2</v>
      </c>
      <c r="E51" s="99">
        <f t="shared" si="2"/>
        <v>0</v>
      </c>
      <c r="F51" s="99">
        <f t="shared" si="3"/>
        <v>0</v>
      </c>
      <c r="G51" s="99"/>
      <c r="H51" s="24"/>
      <c r="I51" s="49"/>
      <c r="J51" s="49"/>
      <c r="K51" s="49"/>
      <c r="L51" s="35"/>
      <c r="M51" s="35"/>
      <c r="N51" s="140"/>
      <c r="O51" s="143"/>
      <c r="P51" s="104"/>
      <c r="Q51" s="33"/>
      <c r="R51" s="131"/>
      <c r="S51" s="131"/>
      <c r="T51" s="131"/>
      <c r="U51" s="131"/>
      <c r="V51" s="131"/>
    </row>
    <row r="52" spans="1:22" ht="12.4" customHeight="1" x14ac:dyDescent="0.2">
      <c r="A52" s="49">
        <v>34.061103820800781</v>
      </c>
      <c r="B52" s="111">
        <v>2.7081489601276671E-2</v>
      </c>
      <c r="C52" s="99">
        <f t="shared" si="0"/>
        <v>0</v>
      </c>
      <c r="D52" s="99">
        <f t="shared" si="1"/>
        <v>1.7859003867189353E-2</v>
      </c>
      <c r="E52" s="99">
        <f t="shared" si="2"/>
        <v>0</v>
      </c>
      <c r="F52" s="99">
        <f t="shared" si="3"/>
        <v>0</v>
      </c>
      <c r="G52" s="99"/>
      <c r="H52" s="24"/>
      <c r="I52" s="49"/>
      <c r="J52" s="49"/>
      <c r="K52" s="49"/>
      <c r="L52" s="35"/>
      <c r="M52" s="35"/>
      <c r="N52" s="140"/>
      <c r="O52" s="143"/>
      <c r="P52" s="104"/>
      <c r="Q52" s="33"/>
      <c r="R52" s="131"/>
      <c r="S52" s="131"/>
      <c r="T52" s="131"/>
      <c r="U52" s="131"/>
      <c r="V52" s="131"/>
    </row>
    <row r="53" spans="1:22" ht="12.4" customHeight="1" x14ac:dyDescent="0.2">
      <c r="A53" s="49">
        <v>35.878890991210938</v>
      </c>
      <c r="B53" s="111">
        <v>2.780538311495168E-2</v>
      </c>
      <c r="C53" s="99">
        <f t="shared" si="0"/>
        <v>0</v>
      </c>
      <c r="D53" s="99">
        <f t="shared" si="1"/>
        <v>1.8336378533446478E-2</v>
      </c>
      <c r="E53" s="99">
        <f t="shared" si="2"/>
        <v>0</v>
      </c>
      <c r="F53" s="99">
        <f t="shared" si="3"/>
        <v>0</v>
      </c>
      <c r="G53" s="99"/>
      <c r="H53" s="24"/>
      <c r="I53" s="49"/>
      <c r="J53" s="49"/>
      <c r="K53" s="49"/>
      <c r="L53" s="35"/>
      <c r="M53" s="35"/>
      <c r="N53" s="140"/>
      <c r="O53" s="143"/>
      <c r="P53" s="104"/>
      <c r="Q53" s="33"/>
      <c r="R53" s="131"/>
      <c r="S53" s="131"/>
      <c r="T53" s="131"/>
      <c r="U53" s="131"/>
      <c r="V53" s="131"/>
    </row>
    <row r="54" spans="1:22" ht="12.4" customHeight="1" x14ac:dyDescent="0.2">
      <c r="A54" s="49">
        <v>41.154167175292969</v>
      </c>
      <c r="B54" s="111">
        <v>2.780538311495168E-2</v>
      </c>
      <c r="C54" s="99">
        <f t="shared" si="0"/>
        <v>0</v>
      </c>
      <c r="D54" s="99">
        <f t="shared" si="1"/>
        <v>1.8336378533446478E-2</v>
      </c>
      <c r="E54" s="99">
        <f t="shared" si="2"/>
        <v>0</v>
      </c>
      <c r="F54" s="99">
        <f t="shared" si="3"/>
        <v>0</v>
      </c>
      <c r="G54" s="99"/>
      <c r="H54" s="24"/>
      <c r="I54" s="49"/>
      <c r="J54" s="49"/>
      <c r="K54" s="49"/>
      <c r="L54" s="35"/>
      <c r="M54" s="35"/>
      <c r="N54" s="140"/>
      <c r="O54" s="143"/>
      <c r="P54" s="104"/>
      <c r="Q54" s="33"/>
      <c r="R54" s="131"/>
      <c r="S54" s="131"/>
      <c r="T54" s="131"/>
      <c r="U54" s="131"/>
      <c r="V54" s="131"/>
    </row>
    <row r="55" spans="1:22" ht="12.4" customHeight="1" x14ac:dyDescent="0.2">
      <c r="A55" s="49">
        <v>44.222831726074219</v>
      </c>
      <c r="B55" s="111">
        <v>2.780538311495168E-2</v>
      </c>
      <c r="C55" s="99">
        <f t="shared" si="0"/>
        <v>0</v>
      </c>
      <c r="D55" s="99">
        <f t="shared" si="1"/>
        <v>1.8336378533446478E-2</v>
      </c>
      <c r="E55" s="99">
        <f t="shared" si="2"/>
        <v>0</v>
      </c>
      <c r="F55" s="99">
        <f t="shared" si="3"/>
        <v>0</v>
      </c>
      <c r="G55" s="99"/>
      <c r="H55" s="24"/>
      <c r="I55" s="49"/>
      <c r="J55" s="49"/>
      <c r="K55" s="49"/>
      <c r="L55" s="35"/>
      <c r="M55" s="35"/>
      <c r="N55" s="140"/>
      <c r="O55" s="143"/>
      <c r="P55" s="104"/>
      <c r="Q55" s="33"/>
      <c r="R55" s="131"/>
      <c r="S55" s="131"/>
      <c r="T55" s="131"/>
      <c r="U55" s="131"/>
      <c r="V55" s="131"/>
    </row>
    <row r="56" spans="1:22" ht="12.4" customHeight="1" x14ac:dyDescent="0.2">
      <c r="A56" s="49">
        <v>48.779834747314453</v>
      </c>
      <c r="B56" s="111">
        <v>2.780538311495168E-2</v>
      </c>
      <c r="C56" s="99">
        <f t="shared" si="0"/>
        <v>0</v>
      </c>
      <c r="D56" s="99">
        <f t="shared" si="1"/>
        <v>1.8336378533446478E-2</v>
      </c>
      <c r="E56" s="99">
        <f t="shared" si="2"/>
        <v>0</v>
      </c>
      <c r="F56" s="99">
        <f t="shared" si="3"/>
        <v>0</v>
      </c>
      <c r="G56" s="99"/>
      <c r="H56" s="24"/>
      <c r="I56" s="49"/>
      <c r="J56" s="49"/>
      <c r="K56" s="49"/>
      <c r="L56" s="35"/>
      <c r="M56" s="35"/>
      <c r="N56" s="140"/>
      <c r="O56" s="143"/>
      <c r="P56" s="104"/>
      <c r="Q56" s="33"/>
      <c r="R56" s="131"/>
      <c r="S56" s="131"/>
      <c r="T56" s="131"/>
      <c r="U56" s="131"/>
      <c r="V56" s="131"/>
    </row>
    <row r="57" spans="1:22" ht="12.4" customHeight="1" x14ac:dyDescent="0.2">
      <c r="A57" s="49">
        <v>53.356285095214844</v>
      </c>
      <c r="B57" s="111">
        <v>2.8005383114951678E-2</v>
      </c>
      <c r="C57" s="99">
        <f t="shared" si="0"/>
        <v>1.9999999999999879E-4</v>
      </c>
      <c r="D57" s="99">
        <f t="shared" si="1"/>
        <v>1.8468269386794127E-2</v>
      </c>
      <c r="E57" s="99">
        <f t="shared" si="2"/>
        <v>1.3435442697836813E-4</v>
      </c>
      <c r="F57" s="99">
        <f t="shared" si="3"/>
        <v>1.3435442697836813E-4</v>
      </c>
      <c r="G57" s="99"/>
      <c r="H57" s="24"/>
      <c r="I57" s="35"/>
      <c r="J57" s="49"/>
      <c r="K57" s="49"/>
      <c r="L57" s="35"/>
      <c r="M57" s="35"/>
      <c r="N57" s="140"/>
      <c r="O57" s="143"/>
      <c r="P57" s="104"/>
      <c r="Q57" s="33"/>
      <c r="R57" s="131"/>
      <c r="S57" s="131"/>
      <c r="T57" s="131"/>
      <c r="U57" s="131"/>
      <c r="V57" s="131"/>
    </row>
    <row r="58" spans="1:22" ht="12.4" customHeight="1" x14ac:dyDescent="0.2">
      <c r="A58" s="49">
        <v>57.480136871337891</v>
      </c>
      <c r="B58" s="111">
        <v>2.830538311495168E-2</v>
      </c>
      <c r="C58" s="99">
        <f t="shared" si="0"/>
        <v>5.0000000000000044E-4</v>
      </c>
      <c r="D58" s="99">
        <f t="shared" si="1"/>
        <v>1.8666105666815602E-2</v>
      </c>
      <c r="E58" s="99">
        <f t="shared" si="2"/>
        <v>3.3588606744592268E-4</v>
      </c>
      <c r="F58" s="99">
        <f t="shared" si="3"/>
        <v>2.0153164046755455E-4</v>
      </c>
      <c r="G58" s="99"/>
      <c r="H58" s="24"/>
      <c r="I58" s="35"/>
      <c r="J58" s="49"/>
      <c r="K58" s="49"/>
      <c r="L58" s="35"/>
      <c r="M58" s="35"/>
      <c r="N58" s="140"/>
      <c r="O58" s="143"/>
      <c r="P58" s="104"/>
      <c r="Q58" s="33"/>
      <c r="R58" s="131"/>
      <c r="S58" s="131"/>
      <c r="T58" s="131"/>
      <c r="U58" s="131"/>
      <c r="V58" s="131"/>
    </row>
    <row r="59" spans="1:22" ht="12.4" customHeight="1" x14ac:dyDescent="0.2">
      <c r="A59" s="49">
        <v>64.225112915039062</v>
      </c>
      <c r="B59" s="111">
        <v>2.880538311495168E-2</v>
      </c>
      <c r="C59" s="99">
        <f t="shared" si="0"/>
        <v>1.0000000000000009E-3</v>
      </c>
      <c r="D59" s="99">
        <f t="shared" si="1"/>
        <v>1.8995832800184725E-2</v>
      </c>
      <c r="E59" s="99">
        <f t="shared" si="2"/>
        <v>6.7177213489184537E-4</v>
      </c>
      <c r="F59" s="99">
        <f t="shared" si="3"/>
        <v>3.3588606744592268E-4</v>
      </c>
      <c r="G59" s="99"/>
      <c r="H59" s="24"/>
      <c r="I59" s="35"/>
      <c r="J59" s="49"/>
      <c r="K59" s="49"/>
      <c r="L59" s="35"/>
      <c r="M59" s="35"/>
      <c r="N59" s="140"/>
      <c r="O59" s="143"/>
      <c r="P59" s="104"/>
      <c r="Q59" s="33"/>
      <c r="R59" s="131"/>
      <c r="S59" s="131"/>
      <c r="T59" s="131"/>
      <c r="U59" s="131"/>
      <c r="V59" s="131"/>
    </row>
    <row r="60" spans="1:22" ht="12.4" customHeight="1" x14ac:dyDescent="0.2">
      <c r="A60" s="49">
        <v>69.889259338378906</v>
      </c>
      <c r="B60" s="111">
        <v>2.9305383114951681E-2</v>
      </c>
      <c r="C60" s="99">
        <f t="shared" si="0"/>
        <v>1.5000000000000013E-3</v>
      </c>
      <c r="D60" s="99">
        <f t="shared" si="1"/>
        <v>1.9325559933553848E-2</v>
      </c>
      <c r="E60" s="99">
        <f t="shared" si="2"/>
        <v>1.0076582023377679E-3</v>
      </c>
      <c r="F60" s="99">
        <f t="shared" si="3"/>
        <v>3.3588606744592252E-4</v>
      </c>
      <c r="G60" s="99"/>
      <c r="H60" s="24"/>
      <c r="I60" s="35"/>
      <c r="J60" s="49"/>
      <c r="K60" s="49"/>
      <c r="L60" s="35"/>
      <c r="M60" s="35"/>
      <c r="N60" s="140"/>
      <c r="O60" s="143"/>
      <c r="P60" s="104"/>
      <c r="Q60" s="33"/>
      <c r="R60" s="131"/>
      <c r="S60" s="131"/>
      <c r="T60" s="131"/>
      <c r="U60" s="131"/>
      <c r="V60" s="131"/>
    </row>
    <row r="61" spans="1:22" ht="12.4" customHeight="1" x14ac:dyDescent="0.2">
      <c r="A61" s="49">
        <v>76.796829223632812</v>
      </c>
      <c r="B61" s="111">
        <v>3.0905383114951678E-2</v>
      </c>
      <c r="C61" s="99">
        <f t="shared" si="0"/>
        <v>3.0999999999999986E-3</v>
      </c>
      <c r="D61" s="99">
        <f t="shared" si="1"/>
        <v>2.038068676033504E-2</v>
      </c>
      <c r="E61" s="99">
        <f t="shared" si="2"/>
        <v>2.0824936181647177E-3</v>
      </c>
      <c r="F61" s="99">
        <f t="shared" si="3"/>
        <v>1.0748354158269498E-3</v>
      </c>
      <c r="G61" s="99"/>
      <c r="H61" s="24"/>
      <c r="I61" s="35"/>
      <c r="J61" s="49"/>
      <c r="K61" s="49"/>
      <c r="L61" s="35"/>
      <c r="M61" s="35"/>
      <c r="N61" s="140"/>
      <c r="O61" s="143"/>
      <c r="P61" s="104"/>
      <c r="Q61" s="33"/>
      <c r="R61" s="131"/>
      <c r="S61" s="131"/>
      <c r="T61" s="131"/>
      <c r="U61" s="131"/>
      <c r="V61" s="131"/>
    </row>
    <row r="62" spans="1:22" ht="12.4" customHeight="1" x14ac:dyDescent="0.2">
      <c r="A62" s="49">
        <v>84.046318054199219</v>
      </c>
      <c r="B62" s="111">
        <v>3.230538311495168E-2</v>
      </c>
      <c r="C62" s="99">
        <f t="shared" si="0"/>
        <v>4.5000000000000005E-3</v>
      </c>
      <c r="D62" s="99">
        <f t="shared" si="1"/>
        <v>2.1303922733768587E-2</v>
      </c>
      <c r="E62" s="99">
        <f t="shared" si="2"/>
        <v>3.0229746070133015E-3</v>
      </c>
      <c r="F62" s="99">
        <f t="shared" si="3"/>
        <v>9.4048098884858379E-4</v>
      </c>
      <c r="G62" s="99"/>
      <c r="H62" s="24"/>
      <c r="I62" s="35"/>
      <c r="J62" s="49"/>
      <c r="K62" s="49"/>
      <c r="L62" s="35"/>
      <c r="M62" s="35"/>
      <c r="N62" s="140"/>
      <c r="O62" s="143"/>
      <c r="P62" s="104"/>
      <c r="Q62" s="33"/>
      <c r="R62" s="131"/>
      <c r="S62" s="131"/>
      <c r="T62" s="131"/>
      <c r="U62" s="131"/>
      <c r="V62" s="131"/>
    </row>
    <row r="63" spans="1:22" ht="12.4" customHeight="1" x14ac:dyDescent="0.2">
      <c r="A63" s="49">
        <v>92.575828552246094</v>
      </c>
      <c r="B63" s="111">
        <v>3.6605383114951678E-2</v>
      </c>
      <c r="C63" s="99">
        <f t="shared" si="0"/>
        <v>8.7999999999999988E-3</v>
      </c>
      <c r="D63" s="99">
        <f t="shared" si="1"/>
        <v>2.4139576080743047E-2</v>
      </c>
      <c r="E63" s="99">
        <f t="shared" si="2"/>
        <v>5.9115947870482331E-3</v>
      </c>
      <c r="F63" s="99">
        <f t="shared" si="3"/>
        <v>2.8886201800349316E-3</v>
      </c>
      <c r="G63" s="99"/>
      <c r="H63" s="24"/>
      <c r="I63" s="35"/>
      <c r="J63" s="49"/>
      <c r="K63" s="49"/>
      <c r="L63" s="35"/>
      <c r="M63" s="35"/>
      <c r="N63" s="140"/>
      <c r="O63" s="143"/>
      <c r="P63" s="104"/>
      <c r="Q63" s="33"/>
      <c r="R63" s="131"/>
      <c r="S63" s="131"/>
      <c r="T63" s="131"/>
      <c r="U63" s="131"/>
      <c r="V63" s="131"/>
    </row>
    <row r="64" spans="1:22" x14ac:dyDescent="0.2">
      <c r="A64" s="49">
        <v>100.6356201171875</v>
      </c>
      <c r="B64" s="111">
        <v>4.200538311495168E-2</v>
      </c>
      <c r="C64" s="99">
        <f t="shared" si="0"/>
        <v>1.4200000000000001E-2</v>
      </c>
      <c r="D64" s="99">
        <f t="shared" si="1"/>
        <v>2.7700629121129576E-2</v>
      </c>
      <c r="E64" s="99">
        <f t="shared" si="2"/>
        <v>9.5391643154641957E-3</v>
      </c>
      <c r="F64" s="99">
        <f t="shared" si="3"/>
        <v>3.6275695284159627E-3</v>
      </c>
      <c r="G64" s="99"/>
      <c r="H64" s="24"/>
      <c r="I64" s="35"/>
      <c r="J64" s="49"/>
      <c r="K64" s="49"/>
      <c r="L64" s="35"/>
      <c r="M64" s="35"/>
      <c r="N64" s="140"/>
      <c r="O64" s="143"/>
      <c r="P64" s="104"/>
      <c r="Q64" s="33"/>
      <c r="R64" s="131"/>
      <c r="S64" s="131"/>
      <c r="T64" s="131"/>
      <c r="U64" s="131"/>
      <c r="V64" s="131"/>
    </row>
    <row r="65" spans="1:22" x14ac:dyDescent="0.2">
      <c r="A65" s="49">
        <v>110.51468658447266</v>
      </c>
      <c r="B65" s="111">
        <v>5.2105383114951678E-2</v>
      </c>
      <c r="C65" s="99">
        <f t="shared" si="0"/>
        <v>2.4299999999999999E-2</v>
      </c>
      <c r="D65" s="99">
        <f t="shared" si="1"/>
        <v>3.4361117215185866E-2</v>
      </c>
      <c r="E65" s="99">
        <f t="shared" si="2"/>
        <v>1.6324062877871824E-2</v>
      </c>
      <c r="F65" s="99">
        <f t="shared" si="3"/>
        <v>6.7848985624076284E-3</v>
      </c>
      <c r="G65" s="99"/>
      <c r="H65" s="24"/>
      <c r="I65" s="35"/>
      <c r="J65" s="49"/>
      <c r="K65" s="49"/>
      <c r="L65" s="35"/>
      <c r="M65" s="35"/>
      <c r="N65" s="140"/>
      <c r="O65" s="143"/>
      <c r="P65" s="104"/>
      <c r="Q65" s="33"/>
      <c r="R65" s="131"/>
      <c r="S65" s="131"/>
      <c r="T65" s="131"/>
      <c r="U65" s="131"/>
      <c r="V65" s="131"/>
    </row>
    <row r="66" spans="1:22" x14ac:dyDescent="0.2">
      <c r="A66" s="49">
        <v>120.59219360351562</v>
      </c>
      <c r="B66" s="111">
        <v>6.9505383114951677E-2</v>
      </c>
      <c r="C66" s="99">
        <f t="shared" si="0"/>
        <v>4.1700000000000001E-2</v>
      </c>
      <c r="D66" s="99">
        <f t="shared" si="1"/>
        <v>4.5835621456431351E-2</v>
      </c>
      <c r="E66" s="99">
        <f t="shared" si="2"/>
        <v>2.8012898024989925E-2</v>
      </c>
      <c r="F66" s="99">
        <f t="shared" si="3"/>
        <v>1.1688835147118101E-2</v>
      </c>
      <c r="G66" s="99"/>
      <c r="H66" s="24"/>
      <c r="I66" s="35"/>
      <c r="J66" s="49"/>
      <c r="K66" s="49"/>
      <c r="L66" s="35"/>
      <c r="M66" s="35"/>
      <c r="N66" s="140"/>
      <c r="O66" s="143"/>
      <c r="P66" s="104"/>
      <c r="Q66" s="33"/>
      <c r="R66" s="131"/>
      <c r="S66" s="131"/>
      <c r="T66" s="131"/>
      <c r="U66" s="131"/>
      <c r="V66" s="131"/>
    </row>
    <row r="67" spans="1:22" x14ac:dyDescent="0.2">
      <c r="A67" s="49">
        <v>132.11007690429687</v>
      </c>
      <c r="B67" s="111">
        <v>0.10350538311495168</v>
      </c>
      <c r="C67" s="99">
        <f t="shared" si="0"/>
        <v>7.5700000000000003E-2</v>
      </c>
      <c r="D67" s="99">
        <f t="shared" si="1"/>
        <v>6.8257066525531734E-2</v>
      </c>
      <c r="E67" s="99">
        <f t="shared" si="2"/>
        <v>5.0853150611312646E-2</v>
      </c>
      <c r="F67" s="99">
        <f t="shared" si="3"/>
        <v>2.2840252586322721E-2</v>
      </c>
      <c r="G67" s="99"/>
      <c r="H67" s="24"/>
      <c r="I67" s="35"/>
      <c r="J67" s="49"/>
      <c r="K67" s="35"/>
      <c r="L67" s="35"/>
      <c r="M67" s="35"/>
      <c r="N67" s="140"/>
      <c r="O67" s="143"/>
      <c r="P67" s="104"/>
      <c r="Q67" s="33"/>
      <c r="R67" s="131"/>
      <c r="S67" s="131"/>
      <c r="T67" s="131"/>
      <c r="U67" s="131"/>
      <c r="V67" s="131"/>
    </row>
    <row r="68" spans="1:22" x14ac:dyDescent="0.2">
      <c r="A68" s="49">
        <v>144.09347534179687</v>
      </c>
      <c r="B68" s="111">
        <v>0.17280538311495167</v>
      </c>
      <c r="C68" s="99">
        <f t="shared" si="0"/>
        <v>0.14499999999999999</v>
      </c>
      <c r="D68" s="99">
        <f t="shared" si="1"/>
        <v>0.1139572472104922</v>
      </c>
      <c r="E68" s="99">
        <f t="shared" si="2"/>
        <v>9.7406959559317483E-2</v>
      </c>
      <c r="F68" s="99">
        <f t="shared" si="3"/>
        <v>4.6553808948004836E-2</v>
      </c>
      <c r="G68" s="99"/>
      <c r="H68" s="24"/>
      <c r="I68" s="35"/>
      <c r="J68" s="49"/>
      <c r="K68" s="35"/>
      <c r="L68" s="35"/>
      <c r="M68" s="35"/>
      <c r="N68" s="140"/>
      <c r="O68" s="143"/>
      <c r="P68" s="104"/>
      <c r="Q68" s="131"/>
      <c r="R68" s="131"/>
      <c r="S68" s="131"/>
      <c r="T68" s="131"/>
      <c r="U68" s="131"/>
      <c r="V68" s="131"/>
    </row>
    <row r="69" spans="1:22" x14ac:dyDescent="0.2">
      <c r="A69" s="49">
        <v>158.19163513183594</v>
      </c>
      <c r="B69" s="111">
        <v>0.2821053831149517</v>
      </c>
      <c r="C69" s="99">
        <f t="shared" si="0"/>
        <v>0.25430000000000003</v>
      </c>
      <c r="D69" s="99">
        <f t="shared" si="1"/>
        <v>0.18603559856498256</v>
      </c>
      <c r="E69" s="99">
        <f t="shared" si="2"/>
        <v>0.17083165390299612</v>
      </c>
      <c r="F69" s="99">
        <f t="shared" si="3"/>
        <v>7.342469434367864E-2</v>
      </c>
      <c r="G69" s="99"/>
      <c r="H69" s="24"/>
      <c r="I69" s="35"/>
      <c r="J69" s="17"/>
      <c r="K69" s="35"/>
      <c r="L69" s="35"/>
      <c r="M69" s="17"/>
      <c r="N69" s="140"/>
      <c r="O69" s="143"/>
      <c r="P69" s="104"/>
      <c r="Q69" s="131"/>
      <c r="R69" s="131"/>
      <c r="S69" s="131"/>
      <c r="T69" s="131"/>
      <c r="U69" s="131"/>
      <c r="V69" s="131"/>
    </row>
    <row r="70" spans="1:22" x14ac:dyDescent="0.2">
      <c r="A70" s="49">
        <v>173.4166259765625</v>
      </c>
      <c r="B70" s="111">
        <v>0.41490538311495168</v>
      </c>
      <c r="C70" s="99">
        <f t="shared" si="0"/>
        <v>0.3871</v>
      </c>
      <c r="D70" s="99">
        <f t="shared" si="1"/>
        <v>0.27361112518782166</v>
      </c>
      <c r="E70" s="99">
        <f t="shared" si="2"/>
        <v>0.26004299341663312</v>
      </c>
      <c r="F70" s="99">
        <f t="shared" si="3"/>
        <v>8.9211339513636995E-2</v>
      </c>
      <c r="G70" s="99"/>
      <c r="H70" s="24"/>
      <c r="I70" s="35"/>
      <c r="J70" s="17"/>
      <c r="K70" s="35"/>
      <c r="L70" s="35"/>
      <c r="M70" s="17"/>
      <c r="N70" s="140"/>
      <c r="O70" s="143"/>
      <c r="P70" s="104"/>
      <c r="Q70" s="131"/>
      <c r="R70" s="131"/>
      <c r="S70" s="131"/>
      <c r="T70" s="131"/>
      <c r="U70" s="131"/>
      <c r="V70" s="131"/>
    </row>
    <row r="71" spans="1:22" x14ac:dyDescent="0.2">
      <c r="A71" s="49">
        <v>189.05926513671875</v>
      </c>
      <c r="B71" s="111">
        <v>0.54630538311495169</v>
      </c>
      <c r="C71" s="99">
        <f t="shared" si="0"/>
        <v>0.51849999999999996</v>
      </c>
      <c r="D71" s="99">
        <f t="shared" si="1"/>
        <v>0.36026341583722726</v>
      </c>
      <c r="E71" s="99">
        <f t="shared" si="2"/>
        <v>0.34831385194142145</v>
      </c>
      <c r="F71" s="99">
        <f t="shared" si="3"/>
        <v>8.8270858524788332E-2</v>
      </c>
      <c r="G71" s="99"/>
      <c r="H71" s="24"/>
      <c r="I71" s="35"/>
      <c r="J71" s="17"/>
      <c r="K71" s="35"/>
      <c r="L71" s="35"/>
      <c r="M71" s="17"/>
      <c r="N71" s="140"/>
      <c r="O71" s="143"/>
      <c r="P71" s="104"/>
      <c r="Q71" s="131"/>
      <c r="R71" s="131"/>
      <c r="S71" s="131"/>
      <c r="T71" s="131"/>
      <c r="U71" s="131"/>
      <c r="V71" s="131"/>
    </row>
    <row r="72" spans="1:22" x14ac:dyDescent="0.2">
      <c r="A72" s="49">
        <v>207.76878356933594</v>
      </c>
      <c r="B72" s="111">
        <v>0.63630538311495177</v>
      </c>
      <c r="C72" s="99">
        <f t="shared" si="0"/>
        <v>0.60850000000000004</v>
      </c>
      <c r="D72" s="99">
        <f t="shared" si="1"/>
        <v>0.41961429984366949</v>
      </c>
      <c r="E72" s="99">
        <f t="shared" si="2"/>
        <v>0.40877334408168753</v>
      </c>
      <c r="F72" s="99">
        <f t="shared" si="3"/>
        <v>6.045949214026608E-2</v>
      </c>
      <c r="G72" s="99"/>
      <c r="H72" s="24"/>
      <c r="I72" s="35"/>
      <c r="J72" s="17"/>
      <c r="K72" s="35"/>
      <c r="L72" s="35"/>
      <c r="M72" s="17"/>
      <c r="N72" s="140"/>
      <c r="O72" s="143"/>
      <c r="P72" s="104"/>
      <c r="Q72" s="131"/>
      <c r="R72" s="131"/>
      <c r="S72" s="131"/>
      <c r="T72" s="131"/>
      <c r="U72" s="131"/>
      <c r="V72" s="131"/>
    </row>
    <row r="73" spans="1:22" x14ac:dyDescent="0.2">
      <c r="A73" s="49">
        <v>227.29307556152344</v>
      </c>
      <c r="B73" s="111">
        <v>0.67900538311495173</v>
      </c>
      <c r="C73" s="99">
        <f t="shared" si="0"/>
        <v>0.6512</v>
      </c>
      <c r="D73" s="99">
        <f t="shared" si="1"/>
        <v>0.44777299703339257</v>
      </c>
      <c r="E73" s="99">
        <f t="shared" si="2"/>
        <v>0.43745801424156927</v>
      </c>
      <c r="F73" s="99">
        <f t="shared" si="3"/>
        <v>2.8684670159881742E-2</v>
      </c>
      <c r="G73" s="99"/>
      <c r="H73" s="24"/>
      <c r="I73" s="35"/>
      <c r="J73" s="17"/>
      <c r="K73" s="35"/>
      <c r="L73" s="35"/>
      <c r="M73" s="17"/>
      <c r="N73" s="140"/>
      <c r="O73" s="143"/>
      <c r="P73" s="104"/>
      <c r="Q73" s="131"/>
      <c r="R73" s="131"/>
      <c r="S73" s="131"/>
      <c r="T73" s="131"/>
      <c r="U73" s="131"/>
      <c r="V73" s="131"/>
    </row>
    <row r="74" spans="1:22" x14ac:dyDescent="0.2">
      <c r="A74" s="49">
        <v>249.35258483886719</v>
      </c>
      <c r="B74" s="111">
        <v>0.71390538311495177</v>
      </c>
      <c r="C74" s="99">
        <f t="shared" si="0"/>
        <v>0.68610000000000004</v>
      </c>
      <c r="D74" s="99">
        <f t="shared" si="1"/>
        <v>0.47078795094255743</v>
      </c>
      <c r="E74" s="99">
        <f t="shared" si="2"/>
        <v>0.46090286174929468</v>
      </c>
      <c r="F74" s="99">
        <f t="shared" si="3"/>
        <v>2.3444847507725408E-2</v>
      </c>
      <c r="G74" s="99"/>
      <c r="H74" s="24"/>
      <c r="I74" s="35"/>
      <c r="J74" s="17"/>
      <c r="K74" s="35"/>
      <c r="L74" s="17"/>
      <c r="M74" s="17"/>
      <c r="N74" s="140"/>
      <c r="O74" s="143"/>
      <c r="P74" s="104"/>
      <c r="Q74" s="131"/>
      <c r="R74" s="131"/>
      <c r="S74" s="131"/>
      <c r="T74" s="131"/>
      <c r="U74" s="131"/>
      <c r="V74" s="131"/>
    </row>
    <row r="75" spans="1:22" x14ac:dyDescent="0.2">
      <c r="A75" s="49">
        <v>272.24588012695312</v>
      </c>
      <c r="B75" s="111">
        <v>0.74290538311495169</v>
      </c>
      <c r="C75" s="99">
        <f t="shared" si="0"/>
        <v>0.71509999999999996</v>
      </c>
      <c r="D75" s="99">
        <f t="shared" si="1"/>
        <v>0.48991212467796652</v>
      </c>
      <c r="E75" s="99">
        <f t="shared" si="2"/>
        <v>0.48038425366115811</v>
      </c>
      <c r="F75" s="99">
        <f t="shared" si="3"/>
        <v>1.9481391911863433E-2</v>
      </c>
      <c r="G75" s="99"/>
      <c r="H75" s="24"/>
      <c r="I75" s="35"/>
      <c r="J75" s="17"/>
      <c r="K75" s="35"/>
      <c r="L75" s="17"/>
      <c r="M75" s="17"/>
      <c r="N75" s="140"/>
      <c r="O75" s="143"/>
      <c r="P75" s="104"/>
      <c r="Q75" s="131"/>
      <c r="R75" s="131"/>
      <c r="S75" s="131"/>
      <c r="T75" s="131"/>
      <c r="U75" s="131"/>
      <c r="V75" s="131"/>
    </row>
    <row r="76" spans="1:22" x14ac:dyDescent="0.2">
      <c r="A76" s="49">
        <v>298.0125732421875</v>
      </c>
      <c r="B76" s="111">
        <v>0.77120538311495168</v>
      </c>
      <c r="C76" s="99">
        <f t="shared" si="0"/>
        <v>0.74339999999999995</v>
      </c>
      <c r="D76" s="99">
        <f t="shared" si="1"/>
        <v>0.50857468042665888</v>
      </c>
      <c r="E76" s="99">
        <f t="shared" si="2"/>
        <v>0.49939540507859731</v>
      </c>
      <c r="F76" s="99">
        <f t="shared" si="3"/>
        <v>1.9011151417439198E-2</v>
      </c>
      <c r="G76" s="99"/>
      <c r="H76" s="24"/>
      <c r="I76" s="35"/>
      <c r="J76" s="17"/>
      <c r="K76" s="35"/>
      <c r="L76" s="17"/>
      <c r="M76" s="17"/>
      <c r="N76" s="140"/>
      <c r="O76" s="143"/>
      <c r="P76" s="104"/>
      <c r="Q76" s="131"/>
      <c r="R76" s="131"/>
      <c r="S76" s="131"/>
      <c r="T76" s="131"/>
      <c r="U76" s="131"/>
      <c r="V76" s="131"/>
    </row>
    <row r="77" spans="1:22" x14ac:dyDescent="0.2">
      <c r="A77" s="49">
        <v>327.05337524414062</v>
      </c>
      <c r="B77" s="111">
        <v>0.79710538311495172</v>
      </c>
      <c r="C77" s="99">
        <f t="shared" si="0"/>
        <v>0.76929999999999998</v>
      </c>
      <c r="D77" s="99">
        <f t="shared" si="1"/>
        <v>0.52565454593517946</v>
      </c>
      <c r="E77" s="99">
        <f t="shared" si="2"/>
        <v>0.51679430337229615</v>
      </c>
      <c r="F77" s="99">
        <f t="shared" si="3"/>
        <v>1.7398898293698839E-2</v>
      </c>
      <c r="G77" s="99"/>
      <c r="H77" s="24"/>
      <c r="I77" s="35"/>
      <c r="J77" s="17"/>
      <c r="K77" s="35"/>
      <c r="L77" s="17"/>
      <c r="M77" s="17"/>
      <c r="N77" s="140"/>
      <c r="O77" s="143"/>
      <c r="P77" s="104"/>
      <c r="Q77" s="131"/>
      <c r="R77" s="131"/>
      <c r="S77" s="131"/>
      <c r="T77" s="131"/>
      <c r="U77" s="131"/>
      <c r="V77" s="131"/>
    </row>
    <row r="78" spans="1:22" x14ac:dyDescent="0.2">
      <c r="A78" s="49">
        <v>357.46517944335937</v>
      </c>
      <c r="B78" s="111">
        <v>0.82210538311495174</v>
      </c>
      <c r="C78" s="99">
        <f t="shared" si="0"/>
        <v>0.79430000000000001</v>
      </c>
      <c r="D78" s="99">
        <f t="shared" si="1"/>
        <v>0.54214090260363568</v>
      </c>
      <c r="E78" s="99">
        <f t="shared" si="2"/>
        <v>0.5335886067445923</v>
      </c>
      <c r="F78" s="99">
        <f t="shared" si="3"/>
        <v>1.6794303372296149E-2</v>
      </c>
      <c r="G78" s="99"/>
      <c r="H78" s="24"/>
      <c r="I78" s="35"/>
      <c r="J78" s="17"/>
      <c r="K78" s="35"/>
      <c r="L78" s="17"/>
      <c r="M78" s="17"/>
      <c r="N78" s="140"/>
      <c r="O78" s="143"/>
      <c r="P78" s="104"/>
      <c r="Q78" s="131"/>
      <c r="R78" s="131"/>
      <c r="S78" s="131"/>
      <c r="T78" s="131"/>
      <c r="U78" s="131"/>
      <c r="V78" s="131"/>
    </row>
    <row r="79" spans="1:22" x14ac:dyDescent="0.2">
      <c r="A79" s="49">
        <v>391.24301147460937</v>
      </c>
      <c r="B79" s="111">
        <v>0.84730538311495174</v>
      </c>
      <c r="C79" s="99">
        <f t="shared" si="0"/>
        <v>0.81950000000000001</v>
      </c>
      <c r="D79" s="99">
        <f t="shared" si="1"/>
        <v>0.55875915012543942</v>
      </c>
      <c r="E79" s="99">
        <f t="shared" si="2"/>
        <v>0.55051726454386674</v>
      </c>
      <c r="F79" s="99">
        <f t="shared" si="3"/>
        <v>1.6928657799274438E-2</v>
      </c>
      <c r="G79" s="99"/>
      <c r="H79" s="24"/>
      <c r="I79" s="35"/>
      <c r="J79" s="17"/>
      <c r="K79" s="35"/>
      <c r="L79" s="17"/>
      <c r="M79" s="17"/>
      <c r="N79" s="140"/>
      <c r="O79" s="143"/>
      <c r="P79" s="104"/>
      <c r="Q79" s="131"/>
      <c r="R79" s="131"/>
      <c r="S79" s="131"/>
      <c r="T79" s="131"/>
      <c r="U79" s="131"/>
      <c r="V79" s="131"/>
    </row>
    <row r="80" spans="1:22" x14ac:dyDescent="0.2">
      <c r="A80" s="49">
        <v>427.23556518554688</v>
      </c>
      <c r="B80" s="111">
        <v>0.87220538311495177</v>
      </c>
      <c r="C80" s="99">
        <f t="shared" si="0"/>
        <v>0.84440000000000004</v>
      </c>
      <c r="D80" s="99">
        <f t="shared" si="1"/>
        <v>0.57517956136722181</v>
      </c>
      <c r="E80" s="99">
        <f t="shared" si="2"/>
        <v>0.56724439070267374</v>
      </c>
      <c r="F80" s="99">
        <f t="shared" si="3"/>
        <v>1.6727126158807004E-2</v>
      </c>
      <c r="G80" s="99"/>
      <c r="H80" s="24"/>
      <c r="I80" s="35"/>
      <c r="J80" s="17"/>
      <c r="K80" s="35"/>
      <c r="L80" s="17"/>
      <c r="M80" s="17"/>
      <c r="N80" s="140"/>
      <c r="O80" s="143"/>
      <c r="P80" s="104"/>
      <c r="Q80" s="131"/>
      <c r="R80" s="131"/>
      <c r="S80" s="131"/>
      <c r="T80" s="131"/>
      <c r="U80" s="131"/>
      <c r="V80" s="131"/>
    </row>
    <row r="81" spans="1:22" x14ac:dyDescent="0.2">
      <c r="A81" s="49">
        <v>468.82559204101562</v>
      </c>
      <c r="B81" s="111">
        <v>0.89650538311495176</v>
      </c>
      <c r="C81" s="99">
        <f t="shared" si="0"/>
        <v>0.86870000000000003</v>
      </c>
      <c r="D81" s="99">
        <f t="shared" si="1"/>
        <v>0.59120430004896118</v>
      </c>
      <c r="E81" s="99">
        <f t="shared" si="2"/>
        <v>0.58356845358054554</v>
      </c>
      <c r="F81" s="99">
        <f t="shared" si="3"/>
        <v>1.6324062877871803E-2</v>
      </c>
      <c r="G81" s="99"/>
      <c r="H81" s="24"/>
      <c r="I81" s="35"/>
      <c r="J81" s="17"/>
      <c r="K81" s="35"/>
      <c r="L81" s="17"/>
      <c r="M81" s="17"/>
      <c r="N81" s="140"/>
      <c r="O81" s="143"/>
      <c r="P81" s="104"/>
      <c r="Q81" s="131"/>
      <c r="R81" s="131"/>
      <c r="S81" s="131"/>
      <c r="T81" s="131"/>
      <c r="U81" s="131"/>
      <c r="V81" s="131"/>
    </row>
    <row r="82" spans="1:22" x14ac:dyDescent="0.2">
      <c r="A82" s="49">
        <v>512.408935546875</v>
      </c>
      <c r="B82" s="111">
        <v>0.92030538311495169</v>
      </c>
      <c r="C82" s="99">
        <f t="shared" si="0"/>
        <v>0.89249999999999996</v>
      </c>
      <c r="D82" s="99">
        <f t="shared" si="1"/>
        <v>0.60689931159733146</v>
      </c>
      <c r="E82" s="99">
        <f t="shared" si="2"/>
        <v>0.5995566303909714</v>
      </c>
      <c r="F82" s="99">
        <f t="shared" si="3"/>
        <v>1.5988176810425858E-2</v>
      </c>
      <c r="G82" s="99"/>
      <c r="H82" s="24"/>
      <c r="I82" s="35"/>
      <c r="J82" s="17"/>
      <c r="K82" s="35"/>
      <c r="L82" s="17"/>
      <c r="M82" s="17"/>
      <c r="N82" s="140"/>
      <c r="O82" s="143"/>
      <c r="P82" s="104"/>
      <c r="Q82" s="131"/>
      <c r="R82" s="131"/>
      <c r="S82" s="131"/>
      <c r="T82" s="131"/>
      <c r="U82" s="131"/>
      <c r="V82" s="131"/>
    </row>
    <row r="83" spans="1:22" x14ac:dyDescent="0.2">
      <c r="A83" s="49">
        <v>561.71441650390625</v>
      </c>
      <c r="B83" s="111">
        <v>0.94460538311495168</v>
      </c>
      <c r="C83" s="99">
        <f t="shared" si="0"/>
        <v>0.91679999999999995</v>
      </c>
      <c r="D83" s="99">
        <f t="shared" si="1"/>
        <v>0.62292405027907083</v>
      </c>
      <c r="E83" s="99">
        <f t="shared" si="2"/>
        <v>0.6158806932688432</v>
      </c>
      <c r="F83" s="99">
        <f t="shared" si="3"/>
        <v>1.6324062877871803E-2</v>
      </c>
      <c r="G83" s="99"/>
      <c r="H83" s="24"/>
      <c r="I83" s="17"/>
      <c r="J83" s="17"/>
      <c r="K83" s="35"/>
      <c r="L83" s="17"/>
      <c r="M83" s="17"/>
      <c r="N83" s="140"/>
      <c r="O83" s="143"/>
      <c r="P83" s="104"/>
      <c r="Q83" s="131"/>
      <c r="R83" s="131"/>
      <c r="S83" s="131"/>
      <c r="T83" s="131"/>
      <c r="U83" s="131"/>
      <c r="V83" s="131"/>
    </row>
    <row r="84" spans="1:22" x14ac:dyDescent="0.2">
      <c r="A84" s="49">
        <v>612.82550048828125</v>
      </c>
      <c r="B84" s="111">
        <v>0.96710538311495176</v>
      </c>
      <c r="C84" s="99">
        <f t="shared" si="0"/>
        <v>0.93930000000000002</v>
      </c>
      <c r="D84" s="99">
        <f t="shared" si="1"/>
        <v>0.63776177128068134</v>
      </c>
      <c r="E84" s="99">
        <f t="shared" si="2"/>
        <v>0.63099556630390974</v>
      </c>
      <c r="F84" s="99">
        <f t="shared" si="3"/>
        <v>1.5114873035066534E-2</v>
      </c>
      <c r="G84" s="99"/>
      <c r="H84" s="24"/>
      <c r="I84" s="17"/>
      <c r="J84" s="17"/>
      <c r="K84" s="35"/>
      <c r="L84" s="17"/>
      <c r="M84" s="17"/>
      <c r="N84" s="140"/>
      <c r="O84" s="143"/>
      <c r="P84" s="104"/>
      <c r="Q84" s="131"/>
      <c r="R84" s="131"/>
      <c r="S84" s="131"/>
      <c r="T84" s="131"/>
      <c r="U84" s="131"/>
      <c r="V84" s="131"/>
    </row>
    <row r="85" spans="1:22" x14ac:dyDescent="0.2">
      <c r="A85" s="49">
        <v>671.81829833984375</v>
      </c>
      <c r="B85" s="111">
        <v>0.99060538311495172</v>
      </c>
      <c r="C85" s="99">
        <f t="shared" si="0"/>
        <v>0.96279999999999999</v>
      </c>
      <c r="D85" s="99">
        <f t="shared" si="1"/>
        <v>0.65325894654903016</v>
      </c>
      <c r="E85" s="99">
        <f t="shared" si="2"/>
        <v>0.64678221147386805</v>
      </c>
      <c r="F85" s="99">
        <f t="shared" si="3"/>
        <v>1.5786645169958313E-2</v>
      </c>
      <c r="G85" s="99"/>
      <c r="H85" s="24"/>
      <c r="I85" s="17"/>
      <c r="J85" s="17"/>
      <c r="K85" s="35"/>
      <c r="L85" s="17"/>
      <c r="M85" s="17"/>
      <c r="N85" s="140"/>
      <c r="O85" s="143"/>
      <c r="P85" s="104"/>
      <c r="Q85" s="131"/>
      <c r="R85" s="131"/>
      <c r="S85" s="131"/>
      <c r="T85" s="131"/>
      <c r="U85" s="131"/>
      <c r="V85" s="131"/>
    </row>
    <row r="86" spans="1:22" x14ac:dyDescent="0.2">
      <c r="A86" s="49">
        <v>733.8936767578125</v>
      </c>
      <c r="B86" s="111">
        <v>1.0128053831149517</v>
      </c>
      <c r="C86" s="99">
        <f t="shared" si="0"/>
        <v>0.98499999999999999</v>
      </c>
      <c r="D86" s="99">
        <f t="shared" si="1"/>
        <v>0.66789883127061922</v>
      </c>
      <c r="E86" s="99">
        <f t="shared" si="2"/>
        <v>0.66169555286846704</v>
      </c>
      <c r="F86" s="99">
        <f t="shared" si="3"/>
        <v>1.4913341394598989E-2</v>
      </c>
      <c r="G86" s="99"/>
      <c r="H86" s="24"/>
      <c r="I86" s="17"/>
      <c r="J86" s="17"/>
      <c r="K86" s="35"/>
      <c r="L86" s="17"/>
      <c r="M86" s="17"/>
      <c r="N86" s="140"/>
      <c r="O86" s="143"/>
      <c r="P86" s="104"/>
      <c r="Q86" s="131"/>
      <c r="R86" s="131"/>
      <c r="S86" s="131"/>
      <c r="T86" s="131"/>
      <c r="U86" s="131"/>
      <c r="V86" s="131"/>
    </row>
    <row r="87" spans="1:22" x14ac:dyDescent="0.2">
      <c r="A87" s="49">
        <v>803.9598388671875</v>
      </c>
      <c r="B87" s="111">
        <v>1.0352053831149517</v>
      </c>
      <c r="C87" s="99">
        <f t="shared" si="0"/>
        <v>1.0074000000000001</v>
      </c>
      <c r="D87" s="99">
        <f t="shared" si="1"/>
        <v>0.68267060684555592</v>
      </c>
      <c r="E87" s="99">
        <f t="shared" si="2"/>
        <v>0.67674324869004443</v>
      </c>
      <c r="F87" s="99">
        <f t="shared" si="3"/>
        <v>1.5047695821577389E-2</v>
      </c>
      <c r="G87" s="99"/>
      <c r="H87" s="24"/>
      <c r="I87" s="17"/>
      <c r="J87" s="17"/>
      <c r="K87" s="35"/>
      <c r="L87" s="17"/>
      <c r="M87" s="17"/>
      <c r="N87" s="140"/>
      <c r="O87" s="143"/>
      <c r="P87" s="104"/>
      <c r="Q87" s="131"/>
      <c r="R87" s="131"/>
      <c r="S87" s="131"/>
      <c r="T87" s="131"/>
      <c r="U87" s="131"/>
      <c r="V87" s="131"/>
    </row>
    <row r="88" spans="1:22" x14ac:dyDescent="0.2">
      <c r="A88" s="49">
        <v>879.97943115234375</v>
      </c>
      <c r="B88" s="111">
        <v>1.0562053831149516</v>
      </c>
      <c r="C88" s="99">
        <f t="shared" si="0"/>
        <v>1.0284</v>
      </c>
      <c r="D88" s="99">
        <f t="shared" si="1"/>
        <v>0.69651914644705903</v>
      </c>
      <c r="E88" s="99">
        <f t="shared" si="2"/>
        <v>0.69085046352277313</v>
      </c>
      <c r="F88" s="99">
        <f t="shared" si="3"/>
        <v>1.4107214832728698E-2</v>
      </c>
      <c r="G88" s="99"/>
      <c r="H88" s="24"/>
      <c r="I88" s="17"/>
      <c r="J88" s="17"/>
      <c r="K88" s="35"/>
      <c r="L88" s="17"/>
      <c r="M88" s="17"/>
      <c r="N88" s="140"/>
      <c r="O88" s="143"/>
      <c r="P88" s="104"/>
      <c r="Q88" s="131"/>
      <c r="R88" s="131"/>
      <c r="S88" s="131"/>
      <c r="T88" s="131"/>
      <c r="U88" s="131"/>
      <c r="V88" s="131"/>
    </row>
    <row r="89" spans="1:22" x14ac:dyDescent="0.2">
      <c r="A89" s="49">
        <v>963.4012451171875</v>
      </c>
      <c r="B89" s="111">
        <v>1.0767053831149516</v>
      </c>
      <c r="C89" s="99">
        <f t="shared" si="0"/>
        <v>1.0488999999999999</v>
      </c>
      <c r="D89" s="99">
        <f t="shared" si="1"/>
        <v>0.71003795891519306</v>
      </c>
      <c r="E89" s="99">
        <f t="shared" si="2"/>
        <v>0.70462179228805588</v>
      </c>
      <c r="F89" s="99">
        <f t="shared" si="3"/>
        <v>1.3771328765282753E-2</v>
      </c>
      <c r="G89" s="99"/>
      <c r="H89" s="24"/>
      <c r="I89" s="17"/>
      <c r="J89" s="17"/>
      <c r="K89" s="35"/>
      <c r="L89" s="17"/>
      <c r="M89" s="17"/>
      <c r="N89" s="140"/>
      <c r="O89" s="143"/>
      <c r="P89" s="104"/>
      <c r="Q89" s="131"/>
      <c r="R89" s="131"/>
      <c r="S89" s="131"/>
      <c r="T89" s="131"/>
      <c r="U89" s="131"/>
      <c r="V89" s="131"/>
    </row>
    <row r="90" spans="1:22" x14ac:dyDescent="0.2">
      <c r="A90" s="49">
        <v>1050.0135498046875</v>
      </c>
      <c r="B90" s="111">
        <v>1.0962053831149516</v>
      </c>
      <c r="C90" s="99">
        <f t="shared" si="0"/>
        <v>1.0684</v>
      </c>
      <c r="D90" s="99">
        <f t="shared" si="1"/>
        <v>0.72289731711658889</v>
      </c>
      <c r="E90" s="99">
        <f t="shared" si="2"/>
        <v>0.71772134891844686</v>
      </c>
      <c r="F90" s="99">
        <f t="shared" si="3"/>
        <v>1.3099556630390974E-2</v>
      </c>
      <c r="G90" s="99"/>
      <c r="H90" s="24"/>
      <c r="I90" s="17"/>
      <c r="J90" s="17"/>
      <c r="K90" s="35"/>
      <c r="L90" s="17"/>
      <c r="M90" s="17"/>
      <c r="N90" s="140"/>
      <c r="O90" s="143"/>
      <c r="P90" s="104"/>
      <c r="Q90" s="131"/>
      <c r="R90" s="131"/>
      <c r="S90" s="131"/>
      <c r="T90" s="131"/>
      <c r="U90" s="131"/>
      <c r="V90" s="131"/>
    </row>
    <row r="91" spans="1:22" x14ac:dyDescent="0.2">
      <c r="A91" s="49">
        <v>1147.9376220703125</v>
      </c>
      <c r="B91" s="111">
        <v>1.1159053831149517</v>
      </c>
      <c r="C91" s="99">
        <f t="shared" si="0"/>
        <v>1.0881000000000001</v>
      </c>
      <c r="D91" s="99">
        <f t="shared" si="1"/>
        <v>0.73588856617133236</v>
      </c>
      <c r="E91" s="99">
        <f t="shared" si="2"/>
        <v>0.73095525997581634</v>
      </c>
      <c r="F91" s="99">
        <f t="shared" si="3"/>
        <v>1.3233911057369485E-2</v>
      </c>
      <c r="G91" s="99"/>
      <c r="H91" s="24"/>
      <c r="I91" s="17"/>
      <c r="J91" s="17"/>
      <c r="K91" s="35"/>
      <c r="L91" s="17"/>
      <c r="M91" s="17"/>
      <c r="N91" s="140"/>
      <c r="O91" s="143"/>
      <c r="P91" s="104"/>
      <c r="Q91" s="131"/>
      <c r="R91" s="131"/>
      <c r="S91" s="131"/>
      <c r="T91" s="131"/>
      <c r="U91" s="131"/>
      <c r="V91" s="131"/>
    </row>
    <row r="92" spans="1:22" x14ac:dyDescent="0.2">
      <c r="A92" s="49">
        <v>1258.552734375</v>
      </c>
      <c r="B92" s="111">
        <v>1.1350053831149516</v>
      </c>
      <c r="C92" s="99">
        <f t="shared" si="0"/>
        <v>1.1072</v>
      </c>
      <c r="D92" s="99">
        <f t="shared" si="1"/>
        <v>0.7484841426660328</v>
      </c>
      <c r="E92" s="99">
        <f t="shared" si="2"/>
        <v>0.7437861077522504</v>
      </c>
      <c r="F92" s="99">
        <f t="shared" si="3"/>
        <v>1.2830847776434062E-2</v>
      </c>
      <c r="G92" s="99"/>
      <c r="H92" s="24"/>
      <c r="I92" s="17"/>
      <c r="J92" s="17"/>
      <c r="K92" s="17"/>
      <c r="L92" s="17"/>
      <c r="M92" s="17"/>
      <c r="N92" s="140"/>
      <c r="O92" s="143"/>
      <c r="P92" s="104"/>
      <c r="Q92" s="131"/>
      <c r="R92" s="131"/>
      <c r="S92" s="131"/>
      <c r="T92" s="131"/>
      <c r="U92" s="131"/>
      <c r="V92" s="131"/>
    </row>
    <row r="93" spans="1:22" x14ac:dyDescent="0.2">
      <c r="A93" s="49">
        <v>1378.177490234375</v>
      </c>
      <c r="B93" s="111">
        <v>1.1536053831149515</v>
      </c>
      <c r="C93" s="99">
        <f t="shared" si="0"/>
        <v>1.1257999999999999</v>
      </c>
      <c r="D93" s="99">
        <f t="shared" si="1"/>
        <v>0.76074999202736415</v>
      </c>
      <c r="E93" s="99">
        <f t="shared" si="2"/>
        <v>0.75628106946123874</v>
      </c>
      <c r="F93" s="99">
        <f t="shared" si="3"/>
        <v>1.2494961708988339E-2</v>
      </c>
      <c r="G93" s="99"/>
      <c r="H93" s="24"/>
      <c r="I93" s="17"/>
      <c r="J93" s="17"/>
      <c r="K93" s="17"/>
      <c r="L93" s="17"/>
      <c r="M93" s="17"/>
      <c r="N93" s="140"/>
      <c r="O93" s="143"/>
      <c r="P93" s="104"/>
      <c r="Q93" s="131"/>
      <c r="R93" s="131"/>
      <c r="S93" s="131"/>
      <c r="T93" s="131"/>
      <c r="U93" s="131"/>
      <c r="V93" s="131"/>
    </row>
    <row r="94" spans="1:22" x14ac:dyDescent="0.2">
      <c r="A94" s="49">
        <v>1507.92822265625</v>
      </c>
      <c r="B94" s="111">
        <v>1.1715053831149516</v>
      </c>
      <c r="C94" s="99">
        <f t="shared" si="0"/>
        <v>1.1436999999999999</v>
      </c>
      <c r="D94" s="99">
        <f t="shared" si="1"/>
        <v>0.77255422340197877</v>
      </c>
      <c r="E94" s="99">
        <f t="shared" si="2"/>
        <v>0.76830579067580274</v>
      </c>
      <c r="F94" s="99">
        <f t="shared" si="3"/>
        <v>1.2024721214563994E-2</v>
      </c>
      <c r="G94" s="99"/>
      <c r="H94" s="24"/>
      <c r="I94" s="17"/>
      <c r="J94" s="17"/>
      <c r="K94" s="17"/>
      <c r="L94" s="17"/>
      <c r="M94" s="17"/>
      <c r="N94" s="140"/>
      <c r="O94" s="143"/>
      <c r="P94" s="104"/>
      <c r="Q94" s="131"/>
      <c r="R94" s="131"/>
      <c r="S94" s="131"/>
      <c r="T94" s="131"/>
      <c r="U94" s="131"/>
      <c r="V94" s="131"/>
    </row>
    <row r="95" spans="1:22" x14ac:dyDescent="0.2">
      <c r="A95" s="49">
        <v>1647.707275390625</v>
      </c>
      <c r="B95" s="111">
        <v>1.1886053831149517</v>
      </c>
      <c r="C95" s="99">
        <f t="shared" si="0"/>
        <v>1.1608000000000001</v>
      </c>
      <c r="D95" s="99">
        <f t="shared" si="1"/>
        <v>0.78383089136320294</v>
      </c>
      <c r="E95" s="99">
        <f t="shared" si="2"/>
        <v>0.77979309418245335</v>
      </c>
      <c r="F95" s="99">
        <f t="shared" si="3"/>
        <v>1.1487303506650615E-2</v>
      </c>
      <c r="G95" s="99"/>
      <c r="H95" s="24"/>
      <c r="I95" s="17"/>
      <c r="J95" s="17"/>
      <c r="K95" s="17"/>
      <c r="L95" s="17"/>
      <c r="M95" s="17"/>
      <c r="N95" s="140"/>
      <c r="O95" s="143"/>
      <c r="P95" s="104"/>
      <c r="Q95" s="131"/>
      <c r="R95" s="131"/>
      <c r="S95" s="131"/>
      <c r="T95" s="131"/>
      <c r="U95" s="131"/>
      <c r="V95" s="131"/>
    </row>
    <row r="96" spans="1:22" x14ac:dyDescent="0.2">
      <c r="A96" s="49">
        <v>1807.1123046875</v>
      </c>
      <c r="B96" s="111">
        <v>1.2060053831149515</v>
      </c>
      <c r="C96" s="99">
        <f t="shared" si="0"/>
        <v>1.1781999999999999</v>
      </c>
      <c r="D96" s="99">
        <f t="shared" si="1"/>
        <v>0.79530539560444835</v>
      </c>
      <c r="E96" s="99">
        <f t="shared" si="2"/>
        <v>0.7914819293295714</v>
      </c>
      <c r="F96" s="99">
        <f t="shared" si="3"/>
        <v>1.1688835147118048E-2</v>
      </c>
      <c r="G96" s="99"/>
      <c r="H96" s="24"/>
      <c r="I96" s="17"/>
      <c r="J96" s="17"/>
      <c r="K96" s="17"/>
      <c r="L96" s="17"/>
      <c r="M96" s="17"/>
      <c r="N96" s="140"/>
      <c r="O96" s="143"/>
      <c r="P96" s="104"/>
      <c r="Q96" s="131"/>
      <c r="R96" s="131"/>
      <c r="S96" s="131"/>
      <c r="T96" s="131"/>
      <c r="U96" s="131"/>
      <c r="V96" s="131"/>
    </row>
    <row r="97" spans="1:22" x14ac:dyDescent="0.2">
      <c r="A97" s="49">
        <v>1978.6900634765625</v>
      </c>
      <c r="B97" s="111">
        <v>1.2212053831149516</v>
      </c>
      <c r="C97" s="99">
        <f t="shared" si="0"/>
        <v>1.1934</v>
      </c>
      <c r="D97" s="99">
        <f t="shared" si="1"/>
        <v>0.80532910045886974</v>
      </c>
      <c r="E97" s="99">
        <f t="shared" si="2"/>
        <v>0.80169286577992749</v>
      </c>
      <c r="F97" s="99">
        <f t="shared" si="3"/>
        <v>1.021093645035609E-2</v>
      </c>
      <c r="G97" s="99"/>
      <c r="H97" s="24"/>
      <c r="I97" s="17"/>
      <c r="J97" s="17"/>
      <c r="K97" s="17"/>
      <c r="L97" s="17"/>
      <c r="M97" s="17"/>
      <c r="N97" s="140"/>
      <c r="O97" s="143"/>
      <c r="P97" s="104"/>
      <c r="Q97" s="131"/>
      <c r="R97" s="131"/>
      <c r="S97" s="131"/>
      <c r="T97" s="131"/>
      <c r="U97" s="131"/>
      <c r="V97" s="131"/>
    </row>
    <row r="98" spans="1:22" x14ac:dyDescent="0.2">
      <c r="A98" s="49">
        <v>2157.361572265625</v>
      </c>
      <c r="B98" s="111">
        <v>1.2362053831149515</v>
      </c>
      <c r="C98" s="99">
        <f t="shared" si="0"/>
        <v>1.2083999999999999</v>
      </c>
      <c r="D98" s="99">
        <f t="shared" si="1"/>
        <v>0.81522091445994338</v>
      </c>
      <c r="E98" s="99">
        <f t="shared" si="2"/>
        <v>0.81176944780330507</v>
      </c>
      <c r="F98" s="99">
        <f t="shared" si="3"/>
        <v>1.0076582023377578E-2</v>
      </c>
      <c r="G98" s="99"/>
      <c r="H98" s="24"/>
      <c r="I98" s="17"/>
      <c r="J98" s="17"/>
      <c r="K98" s="17"/>
      <c r="L98" s="17"/>
      <c r="M98" s="17"/>
      <c r="N98" s="140"/>
      <c r="O98" s="143"/>
      <c r="P98" s="104"/>
      <c r="Q98" s="131"/>
      <c r="R98" s="131"/>
      <c r="S98" s="131"/>
      <c r="T98" s="131"/>
      <c r="U98" s="131"/>
      <c r="V98" s="131"/>
    </row>
    <row r="99" spans="1:22" x14ac:dyDescent="0.2">
      <c r="A99" s="49">
        <v>2369.808837890625</v>
      </c>
      <c r="B99" s="111">
        <v>1.2521053831149516</v>
      </c>
      <c r="C99" s="99">
        <f t="shared" si="0"/>
        <v>1.2242999999999999</v>
      </c>
      <c r="D99" s="99">
        <f t="shared" si="1"/>
        <v>0.8257062373010815</v>
      </c>
      <c r="E99" s="99">
        <f t="shared" si="2"/>
        <v>0.8224506247480855</v>
      </c>
      <c r="F99" s="99">
        <f t="shared" si="3"/>
        <v>1.0681176944780435E-2</v>
      </c>
      <c r="G99" s="99"/>
      <c r="H99" s="24"/>
      <c r="I99" s="17"/>
      <c r="J99" s="17"/>
      <c r="K99" s="17"/>
      <c r="L99" s="17"/>
      <c r="M99" s="17"/>
      <c r="N99" s="140"/>
      <c r="O99" s="143"/>
      <c r="P99" s="104"/>
      <c r="Q99" s="131"/>
      <c r="R99" s="131"/>
      <c r="S99" s="131"/>
      <c r="T99" s="131"/>
      <c r="U99" s="131"/>
      <c r="V99" s="131"/>
    </row>
    <row r="100" spans="1:22" x14ac:dyDescent="0.2">
      <c r="A100" s="49">
        <v>2585.778076171875</v>
      </c>
      <c r="B100" s="111">
        <v>1.2664053831149515</v>
      </c>
      <c r="C100" s="99">
        <f t="shared" si="0"/>
        <v>1.2385999999999999</v>
      </c>
      <c r="D100" s="99">
        <f t="shared" si="1"/>
        <v>0.83513643331543841</v>
      </c>
      <c r="E100" s="99">
        <f t="shared" si="2"/>
        <v>0.83205696627703885</v>
      </c>
      <c r="F100" s="99">
        <f t="shared" si="3"/>
        <v>9.6063415289533438E-3</v>
      </c>
      <c r="G100" s="99"/>
      <c r="H100" s="24"/>
      <c r="I100" s="17"/>
      <c r="J100" s="17"/>
      <c r="K100" s="17"/>
      <c r="L100" s="17"/>
      <c r="M100" s="17"/>
      <c r="N100" s="140"/>
      <c r="O100" s="143"/>
      <c r="P100" s="104"/>
      <c r="Q100" s="131"/>
      <c r="R100" s="131"/>
      <c r="S100" s="131"/>
      <c r="T100" s="131"/>
      <c r="U100" s="131"/>
      <c r="V100" s="131"/>
    </row>
    <row r="101" spans="1:22" x14ac:dyDescent="0.2">
      <c r="A101" s="49">
        <v>2828.619384765625</v>
      </c>
      <c r="B101" s="111">
        <v>1.2805053831149515</v>
      </c>
      <c r="C101" s="99">
        <f t="shared" si="0"/>
        <v>1.2526999999999999</v>
      </c>
      <c r="D101" s="99">
        <f t="shared" si="1"/>
        <v>0.84443473847644768</v>
      </c>
      <c r="E101" s="99">
        <f t="shared" si="2"/>
        <v>0.84152895337901379</v>
      </c>
      <c r="F101" s="99">
        <f t="shared" si="3"/>
        <v>9.4719871019749435E-3</v>
      </c>
      <c r="G101" s="99"/>
      <c r="H101" s="24"/>
      <c r="I101" s="17"/>
      <c r="J101" s="17"/>
      <c r="K101" s="17"/>
      <c r="L101" s="17"/>
      <c r="M101" s="17"/>
      <c r="N101" s="140"/>
      <c r="O101" s="143"/>
      <c r="P101" s="104"/>
      <c r="Q101" s="131"/>
      <c r="R101" s="131"/>
      <c r="S101" s="131"/>
      <c r="T101" s="131"/>
      <c r="U101" s="131"/>
      <c r="V101" s="131"/>
    </row>
    <row r="102" spans="1:22" x14ac:dyDescent="0.2">
      <c r="A102" s="49">
        <v>3100.37841796875</v>
      </c>
      <c r="B102" s="111">
        <v>1.2951053831149517</v>
      </c>
      <c r="C102" s="99">
        <f t="shared" si="0"/>
        <v>1.2673000000000001</v>
      </c>
      <c r="D102" s="99">
        <f t="shared" si="1"/>
        <v>0.85406277077082615</v>
      </c>
      <c r="E102" s="99">
        <f t="shared" si="2"/>
        <v>0.8513368265484349</v>
      </c>
      <c r="F102" s="99">
        <f t="shared" si="3"/>
        <v>9.8078731694211108E-3</v>
      </c>
      <c r="G102" s="99"/>
      <c r="H102" s="24"/>
      <c r="I102" s="17"/>
      <c r="J102" s="17"/>
      <c r="K102" s="17"/>
      <c r="L102" s="17"/>
      <c r="M102" s="17"/>
      <c r="N102" s="140"/>
      <c r="O102" s="143"/>
      <c r="P102" s="104"/>
      <c r="Q102" s="131"/>
      <c r="R102" s="131"/>
      <c r="S102" s="131"/>
      <c r="T102" s="131"/>
      <c r="U102" s="131"/>
      <c r="V102" s="131"/>
    </row>
    <row r="103" spans="1:22" x14ac:dyDescent="0.2">
      <c r="A103" s="49">
        <v>3386.87060546875</v>
      </c>
      <c r="B103" s="111">
        <v>1.3088053831149515</v>
      </c>
      <c r="C103" s="99">
        <f t="shared" si="0"/>
        <v>1.2809999999999999</v>
      </c>
      <c r="D103" s="99">
        <f t="shared" si="1"/>
        <v>0.86309729422514003</v>
      </c>
      <c r="E103" s="99">
        <f t="shared" si="2"/>
        <v>0.86054010479645304</v>
      </c>
      <c r="F103" s="99">
        <f t="shared" si="3"/>
        <v>9.203278248018143E-3</v>
      </c>
      <c r="G103" s="99"/>
      <c r="H103" s="24"/>
      <c r="I103" s="17"/>
      <c r="J103" s="17"/>
      <c r="K103" s="17"/>
      <c r="L103" s="17"/>
      <c r="M103" s="17"/>
      <c r="N103" s="140"/>
      <c r="O103" s="143"/>
      <c r="P103" s="104"/>
      <c r="Q103" s="131"/>
      <c r="R103" s="131"/>
      <c r="S103" s="131"/>
      <c r="T103" s="131"/>
      <c r="U103" s="131"/>
      <c r="V103" s="131"/>
    </row>
    <row r="104" spans="1:22" x14ac:dyDescent="0.2">
      <c r="A104" s="49">
        <v>3707.85498046875</v>
      </c>
      <c r="B104" s="111">
        <v>1.3224053831149516</v>
      </c>
      <c r="C104" s="99">
        <f t="shared" si="0"/>
        <v>1.2946</v>
      </c>
      <c r="D104" s="99">
        <f t="shared" si="1"/>
        <v>0.87206587225278021</v>
      </c>
      <c r="E104" s="99">
        <f t="shared" si="2"/>
        <v>0.86967620583098215</v>
      </c>
      <c r="F104" s="99">
        <f t="shared" si="3"/>
        <v>9.1361010345291094E-3</v>
      </c>
      <c r="G104" s="99"/>
      <c r="H104" s="24"/>
      <c r="I104" s="17"/>
      <c r="J104" s="17"/>
      <c r="K104" s="17"/>
      <c r="L104" s="17"/>
      <c r="M104" s="17"/>
      <c r="N104" s="140"/>
      <c r="O104" s="143"/>
      <c r="P104" s="104"/>
      <c r="Q104" s="131"/>
      <c r="R104" s="131"/>
      <c r="S104" s="131"/>
      <c r="T104" s="131"/>
      <c r="U104" s="131"/>
      <c r="V104" s="131"/>
    </row>
    <row r="105" spans="1:22" x14ac:dyDescent="0.2">
      <c r="A105" s="49">
        <v>4058.780517578125</v>
      </c>
      <c r="B105" s="111">
        <v>1.3348053831149516</v>
      </c>
      <c r="C105" s="99">
        <f t="shared" si="0"/>
        <v>1.3069999999999999</v>
      </c>
      <c r="D105" s="99">
        <f t="shared" si="1"/>
        <v>0.88024310516033444</v>
      </c>
      <c r="E105" s="99">
        <f t="shared" si="2"/>
        <v>0.87800618030364097</v>
      </c>
      <c r="F105" s="99">
        <f t="shared" si="3"/>
        <v>8.3299744726588187E-3</v>
      </c>
      <c r="G105" s="99"/>
      <c r="H105" s="24"/>
      <c r="I105" s="17"/>
      <c r="J105" s="17"/>
      <c r="K105" s="17"/>
      <c r="L105" s="17"/>
      <c r="M105" s="17"/>
      <c r="N105" s="140"/>
      <c r="O105" s="143"/>
      <c r="P105" s="104"/>
      <c r="Q105" s="131"/>
      <c r="R105" s="131"/>
      <c r="S105" s="131"/>
      <c r="T105" s="131"/>
      <c r="U105" s="131"/>
      <c r="V105" s="131"/>
    </row>
    <row r="106" spans="1:22" x14ac:dyDescent="0.2">
      <c r="A106" s="49">
        <v>4432.607421875</v>
      </c>
      <c r="B106" s="111">
        <v>1.3474053831149517</v>
      </c>
      <c r="C106" s="99">
        <f t="shared" si="0"/>
        <v>1.3196000000000001</v>
      </c>
      <c r="D106" s="99">
        <f t="shared" si="1"/>
        <v>0.88855222892123653</v>
      </c>
      <c r="E106" s="99">
        <f t="shared" si="2"/>
        <v>0.88647050920327841</v>
      </c>
      <c r="F106" s="99">
        <f t="shared" si="3"/>
        <v>8.4643288996374411E-3</v>
      </c>
      <c r="G106" s="99"/>
      <c r="H106" s="24"/>
      <c r="I106" s="17"/>
      <c r="J106" s="17"/>
      <c r="K106" s="17"/>
      <c r="L106" s="17"/>
      <c r="M106" s="17"/>
      <c r="N106" s="140"/>
      <c r="O106" s="143"/>
      <c r="P106" s="104"/>
      <c r="Q106" s="131"/>
      <c r="R106" s="131"/>
      <c r="S106" s="131"/>
      <c r="T106" s="131"/>
      <c r="U106" s="131"/>
      <c r="V106" s="131"/>
    </row>
    <row r="107" spans="1:22" x14ac:dyDescent="0.2">
      <c r="A107" s="49">
        <v>4844.89794921875</v>
      </c>
      <c r="B107" s="111">
        <v>1.3600053831149517</v>
      </c>
      <c r="C107" s="99">
        <f t="shared" si="0"/>
        <v>1.3322000000000001</v>
      </c>
      <c r="D107" s="99">
        <f t="shared" si="1"/>
        <v>0.89686135268213829</v>
      </c>
      <c r="E107" s="99">
        <f t="shared" si="2"/>
        <v>0.89493483810291552</v>
      </c>
      <c r="F107" s="99">
        <f t="shared" si="3"/>
        <v>8.464328899637108E-3</v>
      </c>
      <c r="G107" s="99"/>
      <c r="H107" s="24"/>
      <c r="I107" s="17"/>
      <c r="J107" s="17"/>
      <c r="K107" s="17"/>
      <c r="L107" s="17"/>
      <c r="M107" s="17"/>
      <c r="N107" s="140"/>
      <c r="O107" s="143"/>
      <c r="P107" s="104"/>
      <c r="Q107" s="131"/>
      <c r="R107" s="131"/>
      <c r="S107" s="131"/>
      <c r="T107" s="131"/>
      <c r="U107" s="131"/>
      <c r="V107" s="131"/>
    </row>
    <row r="108" spans="1:22" x14ac:dyDescent="0.2">
      <c r="A108" s="49">
        <v>5304.9794921875</v>
      </c>
      <c r="B108" s="111">
        <v>1.3717053831149517</v>
      </c>
      <c r="C108" s="99">
        <f t="shared" si="0"/>
        <v>1.3439000000000001</v>
      </c>
      <c r="D108" s="99">
        <f t="shared" si="1"/>
        <v>0.9045769676029759</v>
      </c>
      <c r="E108" s="99">
        <f t="shared" si="2"/>
        <v>0.90279457208115022</v>
      </c>
      <c r="F108" s="99">
        <f t="shared" si="3"/>
        <v>7.8597339782346953E-3</v>
      </c>
      <c r="G108" s="99"/>
      <c r="H108" s="24"/>
      <c r="I108" s="17"/>
      <c r="J108" s="17"/>
      <c r="K108" s="17"/>
      <c r="L108" s="17"/>
      <c r="M108" s="17"/>
      <c r="N108" s="140"/>
      <c r="O108" s="143"/>
      <c r="P108" s="104"/>
      <c r="Q108" s="131"/>
      <c r="R108" s="131"/>
      <c r="S108" s="131"/>
      <c r="T108" s="131"/>
      <c r="U108" s="131"/>
      <c r="V108" s="131"/>
    </row>
    <row r="109" spans="1:22" x14ac:dyDescent="0.2">
      <c r="A109" s="49">
        <v>5803.25048828125</v>
      </c>
      <c r="B109" s="111">
        <v>1.3837053831149517</v>
      </c>
      <c r="C109" s="99">
        <f t="shared" si="0"/>
        <v>1.3559000000000001</v>
      </c>
      <c r="D109" s="99">
        <f t="shared" si="1"/>
        <v>0.91249041880383486</v>
      </c>
      <c r="E109" s="99">
        <f t="shared" si="2"/>
        <v>0.91085583769985234</v>
      </c>
      <c r="F109" s="99">
        <f t="shared" si="3"/>
        <v>8.0612656187021292E-3</v>
      </c>
      <c r="G109" s="99"/>
      <c r="H109" s="24"/>
      <c r="I109" s="17"/>
      <c r="J109" s="17"/>
      <c r="K109" s="17"/>
      <c r="L109" s="17"/>
      <c r="M109" s="17"/>
      <c r="N109" s="140"/>
      <c r="O109" s="143"/>
      <c r="P109" s="104"/>
      <c r="Q109" s="131"/>
      <c r="R109" s="131"/>
      <c r="S109" s="131"/>
      <c r="T109" s="131"/>
      <c r="U109" s="131"/>
      <c r="V109" s="131"/>
    </row>
    <row r="110" spans="1:22" x14ac:dyDescent="0.2">
      <c r="A110" s="49">
        <v>6353.1337890625</v>
      </c>
      <c r="B110" s="111">
        <v>1.3950053831149516</v>
      </c>
      <c r="C110" s="99">
        <f t="shared" si="0"/>
        <v>1.3672</v>
      </c>
      <c r="D110" s="99">
        <f t="shared" si="1"/>
        <v>0.91994225201797697</v>
      </c>
      <c r="E110" s="99">
        <f t="shared" si="2"/>
        <v>0.91844686282413013</v>
      </c>
      <c r="F110" s="99">
        <f t="shared" si="3"/>
        <v>7.5910251242777838E-3</v>
      </c>
      <c r="G110" s="99"/>
      <c r="H110" s="24"/>
      <c r="I110" s="17"/>
      <c r="J110" s="17"/>
      <c r="K110" s="17"/>
      <c r="L110" s="17"/>
      <c r="M110" s="17"/>
      <c r="N110" s="140"/>
      <c r="O110" s="143"/>
      <c r="P110" s="104"/>
      <c r="Q110" s="131"/>
      <c r="R110" s="131"/>
      <c r="S110" s="131"/>
      <c r="T110" s="131"/>
      <c r="U110" s="131"/>
      <c r="V110" s="131"/>
    </row>
    <row r="111" spans="1:22" x14ac:dyDescent="0.2">
      <c r="A111" s="49">
        <v>6942.1123046875</v>
      </c>
      <c r="B111" s="111">
        <v>1.4056053831149515</v>
      </c>
      <c r="C111" s="99">
        <f t="shared" si="0"/>
        <v>1.3777999999999999</v>
      </c>
      <c r="D111" s="99">
        <f t="shared" si="1"/>
        <v>0.92693246724540224</v>
      </c>
      <c r="E111" s="99">
        <f t="shared" si="2"/>
        <v>0.92556764745398357</v>
      </c>
      <c r="F111" s="99">
        <f t="shared" si="3"/>
        <v>7.1207846298534383E-3</v>
      </c>
      <c r="G111" s="99"/>
      <c r="H111" s="24"/>
      <c r="I111" s="17"/>
      <c r="J111" s="17"/>
      <c r="K111" s="17"/>
      <c r="L111" s="17"/>
      <c r="M111" s="17"/>
      <c r="N111" s="140"/>
      <c r="O111" s="143"/>
      <c r="P111" s="104"/>
      <c r="Q111" s="131"/>
      <c r="R111" s="131"/>
      <c r="S111" s="131"/>
      <c r="T111" s="131"/>
      <c r="U111" s="131"/>
      <c r="V111" s="131"/>
    </row>
    <row r="112" spans="1:22" x14ac:dyDescent="0.2">
      <c r="A112" s="49">
        <v>7603.11865234375</v>
      </c>
      <c r="B112" s="111">
        <v>1.4160053831149517</v>
      </c>
      <c r="C112" s="99">
        <f t="shared" si="0"/>
        <v>1.3882000000000001</v>
      </c>
      <c r="D112" s="99">
        <f t="shared" si="1"/>
        <v>0.9337907916194802</v>
      </c>
      <c r="E112" s="99">
        <f t="shared" si="2"/>
        <v>0.93255407765685894</v>
      </c>
      <c r="F112" s="99">
        <f t="shared" si="3"/>
        <v>6.9864302028753711E-3</v>
      </c>
      <c r="G112" s="99"/>
      <c r="H112" s="24"/>
      <c r="I112" s="17"/>
      <c r="J112" s="17"/>
      <c r="K112" s="17"/>
      <c r="L112" s="17"/>
      <c r="M112" s="17"/>
      <c r="N112" s="140"/>
      <c r="O112" s="143"/>
      <c r="P112" s="104"/>
      <c r="Q112" s="131"/>
      <c r="R112" s="131"/>
      <c r="S112" s="131"/>
      <c r="T112" s="131"/>
      <c r="U112" s="131"/>
      <c r="V112" s="131"/>
    </row>
    <row r="113" spans="1:22" x14ac:dyDescent="0.2">
      <c r="A113" s="49">
        <v>8314.5078125</v>
      </c>
      <c r="B113" s="111">
        <v>1.4256053831149516</v>
      </c>
      <c r="C113" s="99">
        <f t="shared" si="0"/>
        <v>1.3977999999999999</v>
      </c>
      <c r="D113" s="99">
        <f t="shared" si="1"/>
        <v>0.94012155258016727</v>
      </c>
      <c r="E113" s="99">
        <f t="shared" si="2"/>
        <v>0.93900309015182049</v>
      </c>
      <c r="F113" s="99">
        <f t="shared" si="3"/>
        <v>6.4490124949615479E-3</v>
      </c>
      <c r="G113" s="99"/>
      <c r="H113" s="24"/>
      <c r="I113" s="17"/>
      <c r="J113" s="17"/>
      <c r="K113" s="17"/>
      <c r="L113" s="17"/>
      <c r="M113" s="17"/>
      <c r="N113" s="140"/>
      <c r="O113" s="143"/>
      <c r="P113" s="104"/>
      <c r="Q113" s="131"/>
      <c r="R113" s="131"/>
      <c r="S113" s="131"/>
      <c r="T113" s="131"/>
      <c r="U113" s="131"/>
      <c r="V113" s="131"/>
    </row>
    <row r="114" spans="1:22" x14ac:dyDescent="0.2">
      <c r="A114" s="49">
        <v>9090.8046875</v>
      </c>
      <c r="B114" s="111">
        <v>1.4350053831149516</v>
      </c>
      <c r="C114" s="99">
        <f t="shared" si="0"/>
        <v>1.4072</v>
      </c>
      <c r="D114" s="99">
        <f t="shared" si="1"/>
        <v>0.94632042268750682</v>
      </c>
      <c r="E114" s="99">
        <f t="shared" si="2"/>
        <v>0.94531774821980386</v>
      </c>
      <c r="F114" s="99">
        <f t="shared" si="3"/>
        <v>6.3146580679833697E-3</v>
      </c>
      <c r="G114" s="99"/>
      <c r="H114" s="24"/>
      <c r="I114" s="17"/>
      <c r="J114" s="17"/>
      <c r="K114" s="17"/>
      <c r="L114" s="17"/>
      <c r="M114" s="17"/>
      <c r="N114" s="140"/>
      <c r="O114" s="143"/>
      <c r="P114" s="104"/>
      <c r="Q114" s="131"/>
      <c r="R114" s="131"/>
      <c r="S114" s="131"/>
      <c r="T114" s="131"/>
      <c r="U114" s="131"/>
      <c r="V114" s="131"/>
    </row>
    <row r="115" spans="1:22" x14ac:dyDescent="0.2">
      <c r="A115" s="49">
        <v>9952.6162109375</v>
      </c>
      <c r="B115" s="111">
        <v>1.4438053831149515</v>
      </c>
      <c r="C115" s="99">
        <f t="shared" si="0"/>
        <v>1.4159999999999999</v>
      </c>
      <c r="D115" s="99">
        <f t="shared" si="1"/>
        <v>0.95212362023480335</v>
      </c>
      <c r="E115" s="99">
        <f t="shared" si="2"/>
        <v>0.95122934300685202</v>
      </c>
      <c r="F115" s="99">
        <f t="shared" si="3"/>
        <v>5.9115947870481689E-3</v>
      </c>
      <c r="G115" s="99"/>
      <c r="H115" s="24"/>
      <c r="I115" s="17"/>
      <c r="J115" s="17"/>
      <c r="K115" s="17"/>
      <c r="L115" s="17"/>
      <c r="M115" s="17"/>
      <c r="N115" s="140"/>
      <c r="O115" s="143"/>
      <c r="P115" s="104"/>
      <c r="Q115" s="131"/>
      <c r="R115" s="131"/>
      <c r="S115" s="131"/>
      <c r="T115" s="131"/>
      <c r="U115" s="131"/>
      <c r="V115" s="131"/>
    </row>
    <row r="116" spans="1:22" x14ac:dyDescent="0.2">
      <c r="A116" s="49">
        <v>10884.8642578125</v>
      </c>
      <c r="B116" s="111">
        <v>1.4514053831149516</v>
      </c>
      <c r="C116" s="99">
        <f t="shared" si="0"/>
        <v>1.4236</v>
      </c>
      <c r="D116" s="99">
        <f t="shared" si="1"/>
        <v>0.95713547266201404</v>
      </c>
      <c r="E116" s="99">
        <f t="shared" si="2"/>
        <v>0.95633481123203012</v>
      </c>
      <c r="F116" s="99">
        <f t="shared" si="3"/>
        <v>5.1054682251781003E-3</v>
      </c>
      <c r="G116" s="99"/>
      <c r="H116" s="24"/>
      <c r="I116" s="17"/>
      <c r="J116" s="17"/>
      <c r="K116" s="17"/>
      <c r="L116" s="17"/>
      <c r="M116" s="17"/>
      <c r="N116" s="140"/>
      <c r="O116" s="143"/>
      <c r="P116" s="104"/>
      <c r="Q116" s="131"/>
      <c r="R116" s="131"/>
      <c r="S116" s="131"/>
      <c r="T116" s="131"/>
      <c r="U116" s="131"/>
      <c r="V116" s="131"/>
    </row>
    <row r="117" spans="1:22" x14ac:dyDescent="0.2">
      <c r="A117" s="49">
        <v>11892.8310546875</v>
      </c>
      <c r="B117" s="111">
        <v>1.4592053831149516</v>
      </c>
      <c r="C117" s="99">
        <f t="shared" si="0"/>
        <v>1.4314</v>
      </c>
      <c r="D117" s="99">
        <f t="shared" si="1"/>
        <v>0.96227921594257237</v>
      </c>
      <c r="E117" s="99">
        <f t="shared" si="2"/>
        <v>0.96157463388418651</v>
      </c>
      <c r="F117" s="99">
        <f t="shared" si="3"/>
        <v>5.2398226521563895E-3</v>
      </c>
      <c r="G117" s="99"/>
      <c r="H117" s="24"/>
      <c r="I117" s="17"/>
      <c r="J117" s="17"/>
      <c r="K117" s="17"/>
      <c r="L117" s="17"/>
      <c r="M117" s="17"/>
      <c r="N117" s="140"/>
      <c r="O117" s="143"/>
      <c r="P117" s="104"/>
      <c r="Q117" s="131"/>
      <c r="R117" s="131"/>
      <c r="S117" s="131"/>
      <c r="T117" s="131"/>
      <c r="U117" s="131"/>
      <c r="V117" s="131"/>
    </row>
    <row r="118" spans="1:22" x14ac:dyDescent="0.2">
      <c r="A118" s="49">
        <v>12992.2548828125</v>
      </c>
      <c r="B118" s="111">
        <v>1.4662053831149515</v>
      </c>
      <c r="C118" s="99">
        <f t="shared" si="0"/>
        <v>1.4383999999999999</v>
      </c>
      <c r="D118" s="99">
        <f t="shared" si="1"/>
        <v>0.96689539580974004</v>
      </c>
      <c r="E118" s="99">
        <f t="shared" si="2"/>
        <v>0.96627703882842941</v>
      </c>
      <c r="F118" s="99">
        <f t="shared" si="3"/>
        <v>4.7024049442428995E-3</v>
      </c>
      <c r="G118" s="99"/>
      <c r="H118" s="24"/>
      <c r="I118" s="17"/>
      <c r="J118" s="17"/>
      <c r="K118" s="17"/>
      <c r="L118" s="17"/>
      <c r="M118" s="17"/>
      <c r="N118" s="140"/>
      <c r="O118" s="143"/>
      <c r="P118" s="104"/>
      <c r="Q118" s="131"/>
      <c r="R118" s="131"/>
      <c r="S118" s="131"/>
      <c r="T118" s="131"/>
      <c r="U118" s="131"/>
      <c r="V118" s="131"/>
    </row>
    <row r="119" spans="1:22" x14ac:dyDescent="0.2">
      <c r="A119" s="49">
        <v>14291.4453125</v>
      </c>
      <c r="B119" s="111">
        <v>1.4734053831149516</v>
      </c>
      <c r="C119" s="99">
        <f t="shared" si="0"/>
        <v>1.4456</v>
      </c>
      <c r="D119" s="99">
        <f t="shared" si="1"/>
        <v>0.97164346653025546</v>
      </c>
      <c r="E119" s="99">
        <f t="shared" si="2"/>
        <v>0.97111379819965071</v>
      </c>
      <c r="F119" s="99">
        <f t="shared" si="3"/>
        <v>4.8367593712212997E-3</v>
      </c>
      <c r="G119" s="99"/>
      <c r="H119" s="24"/>
      <c r="I119" s="17"/>
      <c r="J119" s="17"/>
      <c r="K119" s="17"/>
      <c r="L119" s="17"/>
      <c r="M119" s="17"/>
      <c r="N119" s="140"/>
      <c r="O119" s="143"/>
      <c r="P119" s="104"/>
      <c r="Q119" s="131"/>
      <c r="R119" s="131"/>
      <c r="S119" s="131"/>
      <c r="T119" s="131"/>
      <c r="U119" s="131"/>
      <c r="V119" s="131"/>
    </row>
    <row r="120" spans="1:22" x14ac:dyDescent="0.2">
      <c r="A120" s="49">
        <v>15593.5263671875</v>
      </c>
      <c r="B120" s="111">
        <v>1.4790053831149517</v>
      </c>
      <c r="C120" s="99">
        <f t="shared" si="0"/>
        <v>1.4512</v>
      </c>
      <c r="D120" s="99">
        <f t="shared" si="1"/>
        <v>0.97533641042398966</v>
      </c>
      <c r="E120" s="99">
        <f t="shared" si="2"/>
        <v>0.97487572215504514</v>
      </c>
      <c r="F120" s="99">
        <f t="shared" si="3"/>
        <v>3.7619239553944306E-3</v>
      </c>
      <c r="G120" s="99"/>
      <c r="H120" s="24"/>
      <c r="I120" s="17"/>
      <c r="J120" s="17"/>
      <c r="K120" s="17"/>
      <c r="L120" s="17"/>
      <c r="M120" s="17"/>
      <c r="N120" s="140"/>
      <c r="O120" s="143"/>
      <c r="P120" s="104"/>
      <c r="Q120" s="131"/>
      <c r="R120" s="131"/>
      <c r="S120" s="131"/>
      <c r="T120" s="131"/>
      <c r="U120" s="131"/>
      <c r="V120" s="131"/>
    </row>
    <row r="121" spans="1:22" x14ac:dyDescent="0.2">
      <c r="A121" s="49">
        <v>17093.470703125</v>
      </c>
      <c r="B121" s="111">
        <v>1.4841053831149515</v>
      </c>
      <c r="C121" s="99">
        <f t="shared" si="0"/>
        <v>1.4562999999999999</v>
      </c>
      <c r="D121" s="99">
        <f t="shared" si="1"/>
        <v>0.97869962718435466</v>
      </c>
      <c r="E121" s="99">
        <f t="shared" si="2"/>
        <v>0.97830176004299341</v>
      </c>
      <c r="F121" s="99">
        <f t="shared" si="3"/>
        <v>3.4260378879482634E-3</v>
      </c>
      <c r="G121" s="99"/>
      <c r="H121" s="24"/>
      <c r="I121" s="17"/>
      <c r="J121" s="17"/>
      <c r="K121" s="17"/>
      <c r="L121" s="17"/>
      <c r="M121" s="17"/>
      <c r="N121" s="140"/>
      <c r="O121" s="143"/>
      <c r="P121" s="104"/>
      <c r="Q121" s="131"/>
      <c r="R121" s="131"/>
      <c r="S121" s="131"/>
      <c r="T121" s="131"/>
      <c r="U121" s="131"/>
      <c r="V121" s="131"/>
    </row>
    <row r="122" spans="1:22" x14ac:dyDescent="0.2">
      <c r="A122" s="49">
        <v>18690.732421875</v>
      </c>
      <c r="B122" s="111">
        <v>1.4892053831149517</v>
      </c>
      <c r="C122" s="99">
        <f t="shared" si="0"/>
        <v>1.4614</v>
      </c>
      <c r="D122" s="99">
        <f t="shared" si="1"/>
        <v>0.98206284394471977</v>
      </c>
      <c r="E122" s="99">
        <f t="shared" si="2"/>
        <v>0.98172779793094189</v>
      </c>
      <c r="F122" s="99">
        <f t="shared" si="3"/>
        <v>3.4260378879484854E-3</v>
      </c>
      <c r="G122" s="99"/>
      <c r="H122" s="24"/>
      <c r="I122" s="17"/>
      <c r="J122" s="17"/>
      <c r="K122" s="17"/>
      <c r="L122" s="17"/>
      <c r="M122" s="17"/>
      <c r="N122" s="140"/>
      <c r="O122" s="143"/>
      <c r="P122" s="104"/>
      <c r="Q122" s="131"/>
      <c r="R122" s="131"/>
      <c r="S122" s="131"/>
      <c r="T122" s="131"/>
      <c r="U122" s="131"/>
      <c r="V122" s="131"/>
    </row>
    <row r="123" spans="1:22" x14ac:dyDescent="0.2">
      <c r="A123" s="49">
        <v>20386.40234375</v>
      </c>
      <c r="B123" s="111">
        <v>1.4940053831149516</v>
      </c>
      <c r="C123" s="99">
        <f t="shared" si="0"/>
        <v>1.4661999999999999</v>
      </c>
      <c r="D123" s="99">
        <f t="shared" si="1"/>
        <v>0.9852282244250633</v>
      </c>
      <c r="E123" s="99">
        <f t="shared" si="2"/>
        <v>0.98495230417842272</v>
      </c>
      <c r="F123" s="99">
        <f t="shared" si="3"/>
        <v>3.2245062474808295E-3</v>
      </c>
      <c r="G123" s="99"/>
      <c r="H123" s="24"/>
      <c r="I123" s="17"/>
      <c r="J123" s="17"/>
      <c r="K123" s="17"/>
      <c r="L123" s="17"/>
      <c r="M123" s="17"/>
      <c r="N123" s="140"/>
      <c r="O123" s="143"/>
      <c r="P123" s="104"/>
      <c r="Q123" s="131"/>
      <c r="R123" s="131"/>
      <c r="S123" s="131"/>
      <c r="T123" s="131"/>
      <c r="U123" s="131"/>
      <c r="V123" s="131"/>
    </row>
    <row r="124" spans="1:22" x14ac:dyDescent="0.2">
      <c r="A124" s="49">
        <v>22293.76171875</v>
      </c>
      <c r="B124" s="111">
        <v>1.4982053831149515</v>
      </c>
      <c r="C124" s="99">
        <f t="shared" si="0"/>
        <v>1.4703999999999999</v>
      </c>
      <c r="D124" s="99">
        <f t="shared" si="1"/>
        <v>0.98799793234536393</v>
      </c>
      <c r="E124" s="99">
        <f t="shared" si="2"/>
        <v>0.98777374714496846</v>
      </c>
      <c r="F124" s="99">
        <f t="shared" si="3"/>
        <v>2.8214429665457397E-3</v>
      </c>
      <c r="G124" s="99"/>
      <c r="H124" s="24"/>
      <c r="I124" s="17"/>
      <c r="J124" s="17"/>
      <c r="K124" s="17"/>
      <c r="L124" s="17"/>
      <c r="M124" s="17"/>
      <c r="N124" s="140"/>
      <c r="O124" s="143"/>
      <c r="P124" s="104"/>
      <c r="Q124" s="131"/>
      <c r="R124" s="131"/>
      <c r="S124" s="131"/>
      <c r="T124" s="131"/>
      <c r="U124" s="131"/>
      <c r="V124" s="131"/>
    </row>
    <row r="125" spans="1:22" x14ac:dyDescent="0.2">
      <c r="A125" s="49">
        <v>24394.078125</v>
      </c>
      <c r="B125" s="111">
        <v>1.5019053831149516</v>
      </c>
      <c r="C125" s="99">
        <f t="shared" si="0"/>
        <v>1.4741</v>
      </c>
      <c r="D125" s="99">
        <f t="shared" si="1"/>
        <v>0.99043791313229546</v>
      </c>
      <c r="E125" s="99">
        <f t="shared" si="2"/>
        <v>0.99025930404406826</v>
      </c>
      <c r="F125" s="99">
        <f t="shared" si="3"/>
        <v>2.4855568990997945E-3</v>
      </c>
      <c r="G125" s="99"/>
      <c r="H125" s="24"/>
      <c r="I125" s="17"/>
      <c r="J125" s="17"/>
      <c r="K125" s="17"/>
      <c r="L125" s="17"/>
      <c r="M125" s="17"/>
      <c r="N125" s="140"/>
      <c r="O125" s="143"/>
      <c r="P125" s="104"/>
      <c r="Q125" s="131"/>
      <c r="R125" s="131"/>
      <c r="S125" s="131"/>
      <c r="T125" s="131"/>
      <c r="U125" s="131"/>
      <c r="V125" s="131"/>
    </row>
    <row r="126" spans="1:22" x14ac:dyDescent="0.2">
      <c r="A126" s="49">
        <v>26694.287109375</v>
      </c>
      <c r="B126" s="111">
        <v>1.5054053831149516</v>
      </c>
      <c r="C126" s="99">
        <f t="shared" si="0"/>
        <v>1.4776</v>
      </c>
      <c r="D126" s="99">
        <f t="shared" si="1"/>
        <v>0.99274600306587935</v>
      </c>
      <c r="E126" s="99">
        <f t="shared" si="2"/>
        <v>0.99261050651618976</v>
      </c>
      <c r="F126" s="99">
        <f t="shared" si="3"/>
        <v>2.3512024721215052E-3</v>
      </c>
      <c r="G126" s="99"/>
      <c r="H126" s="24"/>
      <c r="I126" s="17"/>
      <c r="J126" s="17"/>
      <c r="K126" s="17"/>
      <c r="L126" s="17"/>
      <c r="M126" s="17"/>
      <c r="N126" s="140"/>
      <c r="O126" s="143"/>
      <c r="P126" s="104"/>
      <c r="Q126" s="131"/>
      <c r="R126" s="131"/>
      <c r="S126" s="131"/>
      <c r="T126" s="131"/>
      <c r="U126" s="131"/>
      <c r="V126" s="131"/>
    </row>
    <row r="127" spans="1:22" x14ac:dyDescent="0.2">
      <c r="A127" s="49">
        <v>29294.814453125</v>
      </c>
      <c r="B127" s="111">
        <v>1.5079053831149516</v>
      </c>
      <c r="C127" s="99">
        <f t="shared" si="0"/>
        <v>1.4801</v>
      </c>
      <c r="D127" s="99">
        <f t="shared" si="1"/>
        <v>0.99439463873272493</v>
      </c>
      <c r="E127" s="99">
        <f t="shared" si="2"/>
        <v>0.99428993685341938</v>
      </c>
      <c r="F127" s="99">
        <f t="shared" si="3"/>
        <v>1.6794303372296149E-3</v>
      </c>
      <c r="G127" s="99"/>
      <c r="H127" s="24"/>
      <c r="I127" s="17"/>
      <c r="J127" s="17"/>
      <c r="K127" s="17"/>
      <c r="L127" s="17"/>
      <c r="M127" s="17"/>
      <c r="N127" s="140"/>
      <c r="O127" s="143"/>
      <c r="P127" s="104"/>
      <c r="Q127" s="131"/>
      <c r="R127" s="131"/>
      <c r="S127" s="131"/>
      <c r="T127" s="131"/>
      <c r="U127" s="131"/>
      <c r="V127" s="131"/>
    </row>
    <row r="128" spans="1:22" x14ac:dyDescent="0.2">
      <c r="A128" s="49">
        <v>31996.39453125</v>
      </c>
      <c r="B128" s="111">
        <v>1.5099053831149516</v>
      </c>
      <c r="C128" s="99">
        <f t="shared" si="0"/>
        <v>1.4821</v>
      </c>
      <c r="D128" s="99">
        <f t="shared" si="1"/>
        <v>0.99571354726620143</v>
      </c>
      <c r="E128" s="99">
        <f t="shared" si="2"/>
        <v>0.99563348112320305</v>
      </c>
      <c r="F128" s="99">
        <f t="shared" si="3"/>
        <v>1.3435442697836697E-3</v>
      </c>
      <c r="G128" s="99"/>
      <c r="H128" s="24"/>
      <c r="I128" s="17"/>
      <c r="J128" s="17"/>
      <c r="K128" s="17"/>
      <c r="L128" s="17"/>
      <c r="M128" s="17"/>
      <c r="N128" s="140"/>
      <c r="O128" s="143"/>
      <c r="P128" s="104"/>
      <c r="Q128" s="131"/>
      <c r="R128" s="131"/>
      <c r="S128" s="131"/>
      <c r="T128" s="131"/>
      <c r="U128" s="131"/>
      <c r="V128" s="131"/>
    </row>
    <row r="129" spans="1:23" x14ac:dyDescent="0.2">
      <c r="A129" s="49">
        <v>34994.26171875</v>
      </c>
      <c r="B129" s="111">
        <v>1.5120053831149516</v>
      </c>
      <c r="C129" s="99">
        <f t="shared" si="0"/>
        <v>1.4842</v>
      </c>
      <c r="D129" s="99">
        <f t="shared" si="1"/>
        <v>0.99709840122635174</v>
      </c>
      <c r="E129" s="99">
        <f t="shared" si="2"/>
        <v>0.99704420260647586</v>
      </c>
      <c r="F129" s="99">
        <f t="shared" si="3"/>
        <v>1.4107214832728143E-3</v>
      </c>
      <c r="G129" s="99"/>
      <c r="H129" s="24"/>
      <c r="I129" s="17"/>
      <c r="J129" s="17"/>
      <c r="K129" s="17"/>
      <c r="L129" s="17"/>
      <c r="M129" s="17"/>
      <c r="N129" s="140"/>
      <c r="O129" s="143"/>
      <c r="P129" s="104"/>
      <c r="Q129" s="131"/>
      <c r="R129" s="131"/>
      <c r="S129" s="131"/>
      <c r="T129" s="131"/>
      <c r="U129" s="131"/>
      <c r="V129" s="131"/>
    </row>
    <row r="130" spans="1:23" x14ac:dyDescent="0.2">
      <c r="A130" s="49">
        <v>38273.91015625</v>
      </c>
      <c r="B130" s="111">
        <v>1.5139053831149516</v>
      </c>
      <c r="C130" s="99">
        <f t="shared" si="0"/>
        <v>1.4861</v>
      </c>
      <c r="D130" s="99">
        <f t="shared" si="1"/>
        <v>0.99835136433315441</v>
      </c>
      <c r="E130" s="99">
        <f t="shared" si="2"/>
        <v>0.99832056966277039</v>
      </c>
      <c r="F130" s="99">
        <f t="shared" si="3"/>
        <v>1.2763670562945251E-3</v>
      </c>
      <c r="G130" s="99"/>
      <c r="H130" s="24"/>
      <c r="I130" s="17"/>
      <c r="J130" s="17"/>
      <c r="K130" s="17"/>
      <c r="L130" s="17"/>
      <c r="M130" s="17"/>
      <c r="N130" s="140"/>
      <c r="O130" s="143"/>
      <c r="P130" s="104"/>
      <c r="Q130" s="131"/>
      <c r="R130" s="131"/>
      <c r="S130" s="131"/>
      <c r="T130" s="131"/>
      <c r="U130" s="131"/>
      <c r="V130" s="131"/>
    </row>
    <row r="131" spans="1:23" x14ac:dyDescent="0.2">
      <c r="A131" s="49">
        <v>41869.5703125</v>
      </c>
      <c r="B131" s="111">
        <v>1.5153053831149517</v>
      </c>
      <c r="C131" s="99">
        <f t="shared" si="0"/>
        <v>1.4875</v>
      </c>
      <c r="D131" s="99">
        <f t="shared" si="1"/>
        <v>0.99927460030658799</v>
      </c>
      <c r="E131" s="99">
        <f t="shared" si="2"/>
        <v>0.99926105065161908</v>
      </c>
      <c r="F131" s="99">
        <f t="shared" si="3"/>
        <v>9.4048098884869091E-4</v>
      </c>
      <c r="G131" s="99"/>
      <c r="H131" s="24"/>
      <c r="I131" s="17"/>
      <c r="J131" s="17"/>
      <c r="K131" s="17"/>
      <c r="L131" s="17"/>
      <c r="M131" s="17"/>
      <c r="N131" s="140"/>
      <c r="O131" s="143"/>
      <c r="P131" s="104"/>
      <c r="Q131" s="131"/>
      <c r="R131" s="131"/>
      <c r="S131" s="131"/>
      <c r="T131" s="131"/>
      <c r="U131" s="131"/>
      <c r="V131" s="131"/>
    </row>
    <row r="132" spans="1:23" x14ac:dyDescent="0.2">
      <c r="A132" s="49">
        <v>45769.8203125</v>
      </c>
      <c r="B132" s="111">
        <v>1.5164053831149515</v>
      </c>
      <c r="C132" s="99">
        <f t="shared" si="0"/>
        <v>1.4885999999999999</v>
      </c>
      <c r="D132" s="99">
        <f t="shared" si="1"/>
        <v>1</v>
      </c>
      <c r="E132" s="99">
        <f t="shared" si="2"/>
        <v>1</v>
      </c>
      <c r="F132" s="99">
        <f t="shared" si="3"/>
        <v>7.3894934838092396E-4</v>
      </c>
      <c r="G132" s="99"/>
      <c r="H132" s="24"/>
      <c r="I132" s="17"/>
      <c r="J132" s="17"/>
      <c r="K132" s="17"/>
      <c r="L132" s="17"/>
      <c r="M132" s="17"/>
      <c r="N132" s="140"/>
      <c r="O132" s="143"/>
      <c r="P132" s="104"/>
      <c r="Q132" s="131"/>
      <c r="R132" s="131"/>
      <c r="S132" s="131"/>
      <c r="T132" s="131"/>
      <c r="U132" s="131"/>
      <c r="V132" s="131"/>
    </row>
    <row r="133" spans="1:23" x14ac:dyDescent="0.2">
      <c r="A133" s="49">
        <v>50070.6953125</v>
      </c>
      <c r="B133" s="111">
        <v>1.5164053831149515</v>
      </c>
      <c r="C133" s="99">
        <f t="shared" si="0"/>
        <v>1.4885999999999999</v>
      </c>
      <c r="D133" s="99">
        <f t="shared" si="1"/>
        <v>1</v>
      </c>
      <c r="E133" s="99">
        <f t="shared" si="2"/>
        <v>1</v>
      </c>
      <c r="F133" s="99">
        <f t="shared" si="3"/>
        <v>0</v>
      </c>
      <c r="G133" s="99"/>
      <c r="H133" s="24"/>
      <c r="I133" s="17"/>
      <c r="J133" s="17"/>
      <c r="K133" s="17"/>
      <c r="L133" s="17"/>
      <c r="M133" s="17"/>
      <c r="N133" s="140"/>
      <c r="O133" s="143"/>
      <c r="P133" s="104"/>
      <c r="Q133" s="131"/>
      <c r="R133" s="131"/>
      <c r="S133" s="131"/>
      <c r="T133" s="131"/>
      <c r="U133" s="131"/>
      <c r="V133" s="131"/>
    </row>
    <row r="134" spans="1:23" x14ac:dyDescent="0.2">
      <c r="A134" s="49">
        <v>54767.6796875</v>
      </c>
      <c r="B134" s="111">
        <v>1.5164053831149515</v>
      </c>
      <c r="C134" s="99">
        <f t="shared" si="0"/>
        <v>1.4885999999999999</v>
      </c>
      <c r="D134" s="99">
        <f t="shared" si="1"/>
        <v>1</v>
      </c>
      <c r="E134" s="99">
        <f t="shared" si="2"/>
        <v>1</v>
      </c>
      <c r="F134" s="99">
        <f t="shared" si="3"/>
        <v>0</v>
      </c>
      <c r="G134" s="99"/>
      <c r="H134" s="24"/>
      <c r="I134" s="17"/>
      <c r="J134" s="17"/>
      <c r="K134" s="17"/>
      <c r="L134" s="17"/>
      <c r="M134" s="17"/>
      <c r="N134" s="140"/>
      <c r="O134" s="143"/>
      <c r="P134" s="104"/>
      <c r="Q134" s="131"/>
      <c r="R134" s="131"/>
      <c r="S134" s="131"/>
      <c r="T134" s="131"/>
      <c r="U134" s="131"/>
      <c r="V134" s="131"/>
    </row>
    <row r="135" spans="1:23" x14ac:dyDescent="0.2">
      <c r="A135" s="49">
        <v>59465.51171875</v>
      </c>
      <c r="B135" s="111">
        <v>1.5164053831149515</v>
      </c>
      <c r="C135" s="99">
        <f t="shared" si="0"/>
        <v>1.4885999999999999</v>
      </c>
      <c r="D135" s="99">
        <f t="shared" si="1"/>
        <v>1</v>
      </c>
      <c r="E135" s="99">
        <f t="shared" si="2"/>
        <v>1</v>
      </c>
      <c r="F135" s="99">
        <f t="shared" si="3"/>
        <v>0</v>
      </c>
      <c r="G135" s="99"/>
      <c r="H135" s="24"/>
      <c r="I135" s="17"/>
      <c r="J135" s="17"/>
      <c r="K135" s="17"/>
      <c r="L135" s="17"/>
      <c r="M135" s="17"/>
      <c r="N135" s="140"/>
      <c r="O135" s="143"/>
      <c r="P135" s="104"/>
      <c r="Q135" s="131"/>
      <c r="R135" s="131"/>
      <c r="S135" s="131"/>
      <c r="T135" s="131"/>
      <c r="U135" s="131"/>
      <c r="V135" s="131"/>
    </row>
    <row r="136" spans="1:23" x14ac:dyDescent="0.2">
      <c r="A136" s="49"/>
      <c r="B136" s="111"/>
      <c r="C136" s="99"/>
      <c r="D136" s="99"/>
      <c r="E136" s="99"/>
      <c r="F136" s="99"/>
      <c r="G136" s="99"/>
      <c r="H136" s="154"/>
      <c r="I136" s="49"/>
      <c r="J136" s="49"/>
      <c r="K136" s="49"/>
      <c r="L136" s="49"/>
      <c r="M136" s="49"/>
      <c r="P136" s="136"/>
      <c r="Q136" s="131"/>
      <c r="R136" s="131"/>
      <c r="S136" s="131"/>
      <c r="T136" s="131"/>
      <c r="U136" s="131"/>
      <c r="V136" s="131"/>
    </row>
    <row r="137" spans="1:23" x14ac:dyDescent="0.2">
      <c r="A137" s="49"/>
      <c r="B137" s="111"/>
      <c r="C137" s="99"/>
      <c r="D137" s="99"/>
      <c r="E137" s="99"/>
      <c r="F137" s="99"/>
      <c r="G137" s="99"/>
      <c r="H137" s="154"/>
      <c r="I137" s="49"/>
      <c r="J137" s="49"/>
      <c r="K137" s="49"/>
      <c r="L137" s="49"/>
      <c r="M137" s="49"/>
      <c r="P137" s="136"/>
      <c r="Q137" s="131"/>
      <c r="R137" s="131"/>
      <c r="S137" s="131"/>
      <c r="T137" s="131"/>
      <c r="U137" s="131"/>
      <c r="V137" s="131"/>
    </row>
    <row r="138" spans="1:23" x14ac:dyDescent="0.2">
      <c r="A138" s="49"/>
      <c r="B138" s="111"/>
      <c r="C138" s="99"/>
      <c r="D138" s="99"/>
      <c r="E138" s="99"/>
      <c r="F138" s="99"/>
      <c r="G138" s="99"/>
      <c r="H138" s="154"/>
      <c r="I138" s="49"/>
      <c r="J138" s="49"/>
      <c r="K138" s="49"/>
      <c r="L138" s="49"/>
      <c r="M138" s="49"/>
      <c r="P138" s="136"/>
      <c r="Q138" s="131"/>
      <c r="R138" s="131"/>
      <c r="S138" s="131"/>
      <c r="T138" s="131"/>
      <c r="U138" s="131"/>
      <c r="V138" s="131"/>
    </row>
    <row r="139" spans="1:23" x14ac:dyDescent="0.2">
      <c r="A139" s="49"/>
      <c r="B139" s="111"/>
      <c r="C139" s="99"/>
      <c r="D139" s="99"/>
      <c r="E139" s="99"/>
      <c r="F139" s="99"/>
      <c r="G139" s="99"/>
      <c r="H139" s="154"/>
      <c r="I139" s="49"/>
      <c r="J139" s="49"/>
      <c r="K139" s="49"/>
      <c r="L139" s="49"/>
      <c r="M139" s="49"/>
      <c r="P139" s="136"/>
      <c r="Q139" s="131"/>
      <c r="R139" s="131"/>
      <c r="S139" s="131"/>
      <c r="T139" s="131"/>
      <c r="U139" s="131"/>
      <c r="V139" s="131"/>
    </row>
    <row r="140" spans="1:23" x14ac:dyDescent="0.2">
      <c r="A140" s="49"/>
      <c r="B140" s="111"/>
      <c r="C140" s="99"/>
      <c r="D140" s="99"/>
      <c r="E140" s="99"/>
      <c r="F140" s="99"/>
      <c r="G140" s="99"/>
      <c r="H140" s="154"/>
      <c r="I140" s="49"/>
      <c r="J140" s="49"/>
      <c r="K140" s="49"/>
      <c r="L140" s="49"/>
      <c r="M140" s="49"/>
      <c r="P140" s="136"/>
      <c r="Q140" s="131"/>
      <c r="R140" s="131"/>
      <c r="S140" s="131"/>
      <c r="T140" s="131"/>
      <c r="U140" s="131"/>
      <c r="V140" s="131"/>
    </row>
    <row r="141" spans="1:23" x14ac:dyDescent="0.2">
      <c r="A141" s="49"/>
      <c r="B141" s="111"/>
      <c r="C141" s="99"/>
      <c r="D141" s="99"/>
      <c r="E141" s="99"/>
      <c r="F141" s="99"/>
      <c r="G141" s="99"/>
      <c r="H141" s="99"/>
      <c r="I141" s="99"/>
      <c r="J141" s="99"/>
      <c r="K141" s="99"/>
      <c r="L141" s="99"/>
      <c r="M141" s="99"/>
      <c r="N141" s="99"/>
      <c r="O141" s="154"/>
      <c r="P141" s="49"/>
      <c r="Q141" s="49"/>
      <c r="R141" s="49"/>
      <c r="S141" s="49"/>
      <c r="T141" s="49"/>
      <c r="W141" s="136"/>
    </row>
  </sheetData>
  <mergeCells count="7">
    <mergeCell ref="A5:M5"/>
    <mergeCell ref="I32:J32"/>
    <mergeCell ref="I33:J33"/>
    <mergeCell ref="I34:J34"/>
    <mergeCell ref="K32:L32"/>
    <mergeCell ref="K33:L33"/>
    <mergeCell ref="K34:L34"/>
  </mergeCells>
  <printOptions horizontalCentered="1"/>
  <pageMargins left="0.5" right="0.5" top="0.1" bottom="0.25" header="0" footer="0"/>
  <pageSetup scale="65" orientation="portrait"/>
  <rowBreaks count="2" manualBreakCount="2">
    <brk id="86" max="12" man="1"/>
    <brk id="162" max="12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showGridLines="0" workbookViewId="0">
      <selection activeCell="O4" sqref="O4"/>
    </sheetView>
  </sheetViews>
  <sheetFormatPr defaultColWidth="8.85546875" defaultRowHeight="12.75" x14ac:dyDescent="0.2"/>
  <cols>
    <col min="1" max="17" width="8.140625" style="46" customWidth="1"/>
    <col min="18" max="16384" width="8.85546875" style="46"/>
  </cols>
  <sheetData>
    <row r="1" spans="1:15" ht="15.75" x14ac:dyDescent="0.25">
      <c r="C1" s="163" t="s">
        <v>11</v>
      </c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3"/>
      <c r="O1" s="13"/>
    </row>
    <row r="2" spans="1:15" x14ac:dyDescent="0.2">
      <c r="C2" s="58" t="str">
        <f>Table!A7</f>
        <v>NordAq Energy Inc.</v>
      </c>
      <c r="K2" s="47" t="str">
        <f>Table!L7</f>
        <v>Sample Number:</v>
      </c>
      <c r="N2" s="32"/>
      <c r="O2" s="108" t="str">
        <f>Table!$P$7</f>
        <v>2</v>
      </c>
    </row>
    <row r="3" spans="1:15" x14ac:dyDescent="0.2">
      <c r="C3" s="58" t="str">
        <f>Table!A8</f>
        <v>East Simpson No. 2 (USGS/Husky 1980)</v>
      </c>
      <c r="K3" s="47" t="str">
        <f>Table!L8</f>
        <v>Sample Depth, m:</v>
      </c>
      <c r="N3" s="141"/>
      <c r="O3" s="157">
        <f>Table!$P$8</f>
        <v>6062</v>
      </c>
    </row>
    <row r="4" spans="1:15" x14ac:dyDescent="0.2">
      <c r="C4" s="58" t="str">
        <f>Table!A9</f>
        <v>Torok Sandstones Formation</v>
      </c>
      <c r="K4" s="47" t="str">
        <f>Table!L9</f>
        <v>Permeability to Air (calc), mD:</v>
      </c>
      <c r="M4" s="44"/>
      <c r="N4" s="30"/>
      <c r="O4" s="137">
        <f>Table!$P$9</f>
        <v>0.89798461316350597</v>
      </c>
    </row>
    <row r="5" spans="1:15" x14ac:dyDescent="0.2">
      <c r="C5" s="58" t="str">
        <f>Table!A10</f>
        <v>HH-61176</v>
      </c>
      <c r="D5" s="41"/>
      <c r="E5" s="41"/>
      <c r="F5" s="12"/>
      <c r="G5" s="41"/>
      <c r="K5" s="47" t="str">
        <f>Table!L10</f>
        <v>Porosity, fraction:</v>
      </c>
      <c r="M5" s="44"/>
      <c r="N5" s="30"/>
      <c r="O5" s="137">
        <f>Table!$P$10</f>
        <v>0.13814509138593267</v>
      </c>
    </row>
    <row r="6" spans="1:15" x14ac:dyDescent="0.2">
      <c r="A6" s="44"/>
      <c r="C6" s="58"/>
      <c r="D6" s="65"/>
      <c r="E6" s="65"/>
      <c r="F6" s="65"/>
      <c r="G6" s="44"/>
      <c r="K6" s="47" t="str">
        <f>Table!L11</f>
        <v>Grain Density, grams/cc:</v>
      </c>
      <c r="M6" s="65"/>
      <c r="N6" s="42"/>
      <c r="O6" s="12">
        <f>Table!$P$11</f>
        <v>2.6363657125684052</v>
      </c>
    </row>
    <row r="7" spans="1:15" x14ac:dyDescent="0.2">
      <c r="B7" s="58"/>
      <c r="D7" s="44"/>
      <c r="E7" s="44"/>
      <c r="I7" s="47"/>
      <c r="K7" s="65"/>
      <c r="L7" s="18"/>
      <c r="M7" s="81"/>
    </row>
    <row r="8" spans="1:15" x14ac:dyDescent="0.2">
      <c r="B8" s="58"/>
      <c r="D8" s="44"/>
      <c r="E8" s="44"/>
      <c r="I8" s="47"/>
      <c r="K8" s="65"/>
      <c r="L8" s="18"/>
      <c r="M8" s="81"/>
    </row>
    <row r="9" spans="1:15" ht="12" customHeight="1" x14ac:dyDescent="0.2">
      <c r="B9" s="44"/>
      <c r="C9" s="44"/>
      <c r="D9" s="44"/>
      <c r="E9" s="44"/>
      <c r="F9" s="44"/>
    </row>
    <row r="10" spans="1:15" x14ac:dyDescent="0.2">
      <c r="B10" s="44"/>
      <c r="C10" s="44"/>
      <c r="D10" s="44"/>
      <c r="E10" s="44"/>
      <c r="F10" s="44"/>
      <c r="K10" s="65"/>
      <c r="L10" s="18"/>
    </row>
    <row r="11" spans="1:15" x14ac:dyDescent="0.2">
      <c r="B11" s="44"/>
      <c r="C11" s="44"/>
      <c r="D11" s="65"/>
      <c r="E11" s="44"/>
      <c r="F11" s="44"/>
      <c r="K11" s="65"/>
      <c r="L11" s="18"/>
    </row>
    <row r="12" spans="1:15" x14ac:dyDescent="0.2">
      <c r="B12" s="44"/>
      <c r="C12" s="44"/>
      <c r="D12" s="65"/>
      <c r="E12" s="44"/>
      <c r="F12" s="44"/>
      <c r="G12" s="47"/>
      <c r="H12" s="44"/>
      <c r="I12" s="44"/>
      <c r="J12" s="137"/>
      <c r="K12" s="65"/>
      <c r="L12" s="18"/>
    </row>
    <row r="13" spans="1:15" x14ac:dyDescent="0.2">
      <c r="A13" s="58"/>
      <c r="B13" s="44"/>
      <c r="C13" s="44"/>
      <c r="D13" s="44"/>
      <c r="E13" s="44"/>
      <c r="F13" s="44"/>
      <c r="G13" s="44"/>
      <c r="H13" s="44"/>
      <c r="I13" s="30"/>
      <c r="J13" s="65"/>
      <c r="K13" s="65"/>
      <c r="L13" s="18"/>
    </row>
    <row r="14" spans="1:15" x14ac:dyDescent="0.2">
      <c r="A14" s="133"/>
      <c r="B14" s="133"/>
      <c r="C14" s="133"/>
      <c r="D14" s="133"/>
      <c r="E14" s="133"/>
      <c r="F14" s="133"/>
      <c r="G14" s="133"/>
      <c r="H14" s="133"/>
      <c r="I14" s="133"/>
      <c r="J14" s="133"/>
      <c r="K14" s="65"/>
      <c r="L14" s="18"/>
    </row>
    <row r="15" spans="1:15" x14ac:dyDescent="0.2">
      <c r="A15" s="133"/>
      <c r="B15" s="133"/>
      <c r="C15" s="133"/>
      <c r="D15" s="133"/>
      <c r="E15" s="133"/>
      <c r="F15" s="133"/>
      <c r="G15" s="133"/>
      <c r="H15" s="133"/>
      <c r="I15" s="133"/>
      <c r="J15" s="133"/>
      <c r="K15" s="44"/>
      <c r="L15" s="18"/>
    </row>
    <row r="16" spans="1:15" x14ac:dyDescent="0.2">
      <c r="A16" s="133"/>
      <c r="B16" s="133"/>
      <c r="C16" s="133"/>
      <c r="D16" s="133"/>
      <c r="E16" s="133"/>
      <c r="F16" s="133"/>
      <c r="G16" s="133"/>
      <c r="H16" s="133"/>
      <c r="I16" s="133"/>
      <c r="J16" s="133"/>
      <c r="K16" s="44"/>
      <c r="L16" s="18"/>
    </row>
    <row r="17" spans="1:12" x14ac:dyDescent="0.2">
      <c r="A17" s="144"/>
      <c r="B17" s="144"/>
      <c r="C17" s="144"/>
      <c r="D17" s="144"/>
      <c r="E17" s="144"/>
      <c r="F17" s="144"/>
      <c r="G17" s="144"/>
      <c r="H17" s="144"/>
      <c r="I17" s="144"/>
      <c r="J17" s="144"/>
      <c r="K17" s="44"/>
      <c r="L17" s="104"/>
    </row>
    <row r="18" spans="1:12" x14ac:dyDescent="0.2">
      <c r="A18" s="136"/>
      <c r="B18" s="33"/>
      <c r="C18" s="33"/>
      <c r="D18" s="4"/>
      <c r="E18" s="51"/>
      <c r="F18" s="68"/>
      <c r="G18" s="68"/>
      <c r="H18" s="68"/>
      <c r="I18" s="68"/>
      <c r="J18" s="68"/>
      <c r="K18" s="44"/>
      <c r="L18" s="104"/>
    </row>
    <row r="19" spans="1:12" x14ac:dyDescent="0.2">
      <c r="A19" s="115"/>
      <c r="B19" s="33"/>
      <c r="C19" s="33"/>
      <c r="D19" s="4"/>
      <c r="E19" s="51"/>
      <c r="F19" s="68"/>
      <c r="G19" s="68"/>
      <c r="H19" s="68"/>
      <c r="I19" s="68"/>
      <c r="J19" s="68"/>
      <c r="K19" s="44"/>
      <c r="L19" s="104"/>
    </row>
    <row r="20" spans="1:12" x14ac:dyDescent="0.2">
      <c r="A20" s="115"/>
      <c r="B20" s="33"/>
      <c r="C20" s="33"/>
      <c r="D20" s="4"/>
      <c r="E20" s="51"/>
      <c r="F20" s="68"/>
      <c r="G20" s="68"/>
      <c r="H20" s="68"/>
      <c r="I20" s="68"/>
      <c r="J20" s="68"/>
      <c r="K20" s="44"/>
      <c r="L20" s="144"/>
    </row>
    <row r="21" spans="1:12" x14ac:dyDescent="0.2">
      <c r="A21" s="115"/>
      <c r="B21" s="33"/>
      <c r="C21" s="33"/>
      <c r="D21" s="4"/>
      <c r="E21" s="51"/>
      <c r="F21" s="68"/>
      <c r="G21" s="68"/>
      <c r="H21" s="68"/>
      <c r="I21" s="68"/>
      <c r="J21" s="68"/>
      <c r="K21" s="44"/>
      <c r="L21" s="56"/>
    </row>
    <row r="22" spans="1:12" x14ac:dyDescent="0.2">
      <c r="A22" s="115"/>
      <c r="B22" s="33"/>
      <c r="C22" s="33"/>
      <c r="D22" s="4"/>
      <c r="E22" s="51"/>
      <c r="F22" s="68"/>
      <c r="G22" s="68"/>
      <c r="H22" s="68"/>
      <c r="I22" s="68"/>
      <c r="J22" s="68"/>
      <c r="K22" s="44"/>
      <c r="L22" s="56"/>
    </row>
    <row r="23" spans="1:12" x14ac:dyDescent="0.2">
      <c r="A23" s="115"/>
      <c r="B23" s="33"/>
      <c r="C23" s="33"/>
      <c r="D23" s="4"/>
      <c r="E23" s="51"/>
      <c r="F23" s="68"/>
      <c r="G23" s="68"/>
      <c r="H23" s="68"/>
      <c r="I23" s="68"/>
      <c r="J23" s="68"/>
      <c r="K23" s="44"/>
      <c r="L23" s="56"/>
    </row>
    <row r="24" spans="1:12" x14ac:dyDescent="0.2">
      <c r="A24" s="126"/>
      <c r="B24" s="33"/>
      <c r="C24" s="33"/>
      <c r="D24" s="4"/>
      <c r="E24" s="51"/>
      <c r="F24" s="68"/>
      <c r="G24" s="68"/>
      <c r="H24" s="68"/>
      <c r="I24" s="68"/>
      <c r="J24" s="68"/>
      <c r="K24" s="44"/>
      <c r="L24" s="56"/>
    </row>
    <row r="25" spans="1:12" x14ac:dyDescent="0.2">
      <c r="A25" s="126"/>
      <c r="B25" s="33"/>
      <c r="C25" s="33"/>
      <c r="D25" s="4"/>
      <c r="E25" s="51"/>
      <c r="F25" s="68"/>
      <c r="G25" s="68"/>
      <c r="H25" s="68"/>
      <c r="I25" s="68"/>
      <c r="J25" s="68"/>
      <c r="K25" s="44"/>
      <c r="L25" s="56"/>
    </row>
    <row r="26" spans="1:12" x14ac:dyDescent="0.2">
      <c r="A26" s="126"/>
      <c r="B26" s="33"/>
      <c r="C26" s="33"/>
      <c r="D26" s="4"/>
      <c r="E26" s="51"/>
      <c r="F26" s="68"/>
      <c r="G26" s="68"/>
      <c r="H26" s="68"/>
      <c r="I26" s="68"/>
      <c r="J26" s="68"/>
      <c r="K26" s="44"/>
      <c r="L26" s="56"/>
    </row>
    <row r="27" spans="1:12" ht="15.75" customHeight="1" x14ac:dyDescent="0.2">
      <c r="A27" s="126"/>
      <c r="B27" s="33"/>
      <c r="C27" s="33"/>
      <c r="D27" s="4"/>
      <c r="E27" s="51"/>
      <c r="F27" s="68"/>
      <c r="G27" s="68"/>
      <c r="H27" s="68"/>
      <c r="I27" s="68"/>
      <c r="J27" s="68"/>
      <c r="K27" s="44"/>
      <c r="L27" s="56"/>
    </row>
    <row r="28" spans="1:12" x14ac:dyDescent="0.2">
      <c r="A28" s="126"/>
      <c r="B28" s="33"/>
      <c r="C28" s="33"/>
      <c r="D28" s="4"/>
      <c r="E28" s="51"/>
      <c r="F28" s="68"/>
      <c r="G28" s="68"/>
      <c r="H28" s="68"/>
      <c r="I28" s="68"/>
      <c r="J28" s="68"/>
      <c r="K28" s="44"/>
      <c r="L28" s="56"/>
    </row>
    <row r="29" spans="1:12" x14ac:dyDescent="0.2">
      <c r="A29" s="103"/>
      <c r="B29" s="33"/>
      <c r="C29" s="33"/>
      <c r="D29" s="4"/>
      <c r="E29" s="51"/>
      <c r="F29" s="68"/>
      <c r="G29" s="68"/>
      <c r="H29" s="68"/>
      <c r="I29" s="68"/>
      <c r="J29" s="68"/>
      <c r="K29" s="44"/>
      <c r="L29" s="56"/>
    </row>
    <row r="30" spans="1:12" x14ac:dyDescent="0.2">
      <c r="A30" s="103"/>
      <c r="B30" s="33"/>
      <c r="C30" s="33"/>
      <c r="D30" s="4"/>
      <c r="E30" s="51"/>
      <c r="F30" s="68"/>
      <c r="G30" s="68"/>
      <c r="H30" s="68"/>
      <c r="I30" s="68"/>
      <c r="J30" s="68"/>
      <c r="K30" s="44"/>
      <c r="L30" s="56"/>
    </row>
    <row r="31" spans="1:12" x14ac:dyDescent="0.2">
      <c r="A31" s="103"/>
      <c r="B31" s="33"/>
      <c r="C31" s="33"/>
      <c r="D31" s="4"/>
      <c r="E31" s="51"/>
      <c r="F31" s="68"/>
      <c r="G31" s="68"/>
      <c r="H31" s="68"/>
      <c r="I31" s="68"/>
      <c r="J31" s="68"/>
      <c r="K31" s="44"/>
      <c r="L31" s="56"/>
    </row>
    <row r="32" spans="1:12" x14ac:dyDescent="0.2">
      <c r="A32" s="103"/>
      <c r="B32" s="33"/>
      <c r="C32" s="33"/>
      <c r="D32" s="4"/>
      <c r="E32" s="51"/>
      <c r="F32" s="68"/>
      <c r="G32" s="68"/>
      <c r="H32" s="68"/>
      <c r="I32" s="68"/>
      <c r="J32" s="68"/>
      <c r="K32" s="44"/>
      <c r="L32" s="56"/>
    </row>
    <row r="33" spans="1:12" x14ac:dyDescent="0.2">
      <c r="A33" s="103"/>
      <c r="B33" s="33"/>
      <c r="C33" s="33"/>
      <c r="D33" s="4"/>
      <c r="E33" s="51"/>
      <c r="F33" s="68"/>
      <c r="G33" s="68"/>
      <c r="H33" s="68"/>
      <c r="I33" s="68"/>
      <c r="J33" s="68"/>
      <c r="K33" s="44"/>
      <c r="L33" s="56"/>
    </row>
    <row r="34" spans="1:12" x14ac:dyDescent="0.2">
      <c r="A34" s="83"/>
      <c r="B34" s="33"/>
      <c r="C34" s="33"/>
      <c r="D34" s="4"/>
      <c r="E34" s="51"/>
      <c r="F34" s="68"/>
      <c r="G34" s="68"/>
      <c r="H34" s="68"/>
      <c r="I34" s="68"/>
      <c r="J34" s="68"/>
      <c r="K34" s="44"/>
      <c r="L34" s="56"/>
    </row>
    <row r="35" spans="1:12" x14ac:dyDescent="0.2">
      <c r="A35" s="83"/>
      <c r="B35" s="33"/>
      <c r="C35" s="33"/>
      <c r="D35" s="4"/>
      <c r="E35" s="51"/>
      <c r="F35" s="68"/>
      <c r="G35" s="68"/>
      <c r="H35" s="68"/>
      <c r="I35" s="68"/>
      <c r="J35" s="68"/>
      <c r="K35" s="44"/>
      <c r="L35" s="56"/>
    </row>
    <row r="36" spans="1:12" x14ac:dyDescent="0.2">
      <c r="A36" s="83"/>
      <c r="B36" s="33"/>
      <c r="C36" s="33"/>
      <c r="D36" s="4"/>
      <c r="E36" s="51"/>
      <c r="F36" s="68"/>
      <c r="G36" s="68"/>
      <c r="H36" s="68"/>
      <c r="I36" s="68"/>
      <c r="J36" s="68"/>
      <c r="K36" s="44"/>
      <c r="L36" s="56"/>
    </row>
    <row r="37" spans="1:12" x14ac:dyDescent="0.2">
      <c r="A37" s="83"/>
      <c r="B37" s="33"/>
      <c r="C37" s="33"/>
      <c r="D37" s="4"/>
      <c r="E37" s="51"/>
      <c r="F37" s="68"/>
      <c r="G37" s="68"/>
      <c r="H37" s="68"/>
      <c r="I37" s="68"/>
      <c r="J37" s="68"/>
      <c r="K37" s="44"/>
      <c r="L37" s="56"/>
    </row>
    <row r="38" spans="1:12" x14ac:dyDescent="0.2">
      <c r="A38" s="83"/>
      <c r="B38" s="33"/>
      <c r="C38" s="33"/>
      <c r="D38" s="4"/>
      <c r="E38" s="51"/>
      <c r="F38" s="68"/>
      <c r="G38" s="68"/>
      <c r="H38" s="68"/>
      <c r="I38" s="68"/>
      <c r="J38" s="68"/>
      <c r="K38" s="44"/>
      <c r="L38" s="56"/>
    </row>
    <row r="39" spans="1:12" x14ac:dyDescent="0.2">
      <c r="A39" s="83"/>
      <c r="B39" s="33"/>
      <c r="C39" s="33"/>
      <c r="D39" s="4"/>
      <c r="E39" s="51"/>
      <c r="F39" s="68"/>
      <c r="G39" s="68"/>
      <c r="H39" s="68"/>
      <c r="I39" s="68"/>
      <c r="J39" s="68"/>
      <c r="K39" s="44"/>
      <c r="L39" s="56"/>
    </row>
    <row r="40" spans="1:12" x14ac:dyDescent="0.2">
      <c r="A40" s="83"/>
      <c r="B40" s="33"/>
      <c r="C40" s="33"/>
      <c r="D40" s="4"/>
      <c r="E40" s="51"/>
      <c r="F40" s="68"/>
      <c r="G40" s="68"/>
      <c r="H40" s="68"/>
      <c r="I40" s="68"/>
      <c r="J40" s="68"/>
      <c r="K40" s="44"/>
      <c r="L40" s="56"/>
    </row>
    <row r="41" spans="1:12" x14ac:dyDescent="0.2">
      <c r="A41" s="83"/>
      <c r="B41" s="33"/>
      <c r="C41" s="33"/>
      <c r="D41" s="4"/>
      <c r="E41" s="51"/>
      <c r="F41" s="68"/>
      <c r="G41" s="68"/>
      <c r="H41" s="68"/>
      <c r="I41" s="68"/>
      <c r="J41" s="68"/>
      <c r="K41" s="44"/>
      <c r="L41" s="56"/>
    </row>
    <row r="42" spans="1:12" x14ac:dyDescent="0.2">
      <c r="A42" s="83"/>
      <c r="B42" s="33"/>
      <c r="C42" s="33"/>
      <c r="D42" s="4"/>
      <c r="E42" s="51"/>
      <c r="F42" s="68"/>
      <c r="G42" s="68"/>
      <c r="H42" s="68"/>
      <c r="I42" s="68"/>
      <c r="J42" s="68"/>
      <c r="K42" s="44"/>
      <c r="L42" s="56"/>
    </row>
    <row r="43" spans="1:12" x14ac:dyDescent="0.2">
      <c r="A43" s="83"/>
      <c r="B43" s="33"/>
      <c r="C43" s="33"/>
      <c r="D43" s="4"/>
      <c r="E43" s="51"/>
      <c r="F43" s="68"/>
      <c r="G43" s="68"/>
      <c r="H43" s="68"/>
      <c r="I43" s="68"/>
      <c r="J43" s="68"/>
      <c r="K43" s="44"/>
      <c r="L43" s="56"/>
    </row>
    <row r="44" spans="1:12" x14ac:dyDescent="0.2">
      <c r="A44" s="131"/>
      <c r="B44" s="131"/>
      <c r="C44" s="131"/>
      <c r="D44" s="131"/>
      <c r="E44" s="131"/>
      <c r="F44" s="131"/>
      <c r="G44" s="131"/>
      <c r="H44" s="131"/>
      <c r="I44" s="131"/>
      <c r="J44" s="131"/>
    </row>
    <row r="45" spans="1:12" ht="17.25" customHeight="1" x14ac:dyDescent="0.2">
      <c r="A45" s="131"/>
      <c r="B45" s="131"/>
      <c r="C45" s="131"/>
      <c r="D45" s="131"/>
      <c r="E45" s="131"/>
      <c r="F45" s="131"/>
      <c r="G45" s="131"/>
      <c r="H45" s="131"/>
      <c r="I45" s="131"/>
      <c r="J45" s="131"/>
    </row>
    <row r="46" spans="1:12" x14ac:dyDescent="0.2">
      <c r="A46" s="131"/>
      <c r="B46" s="131"/>
      <c r="C46" s="131"/>
      <c r="D46" s="131"/>
      <c r="E46" s="131"/>
      <c r="F46" s="131"/>
      <c r="G46" s="131"/>
      <c r="H46" s="131"/>
      <c r="I46" s="131"/>
      <c r="J46" s="131"/>
    </row>
    <row r="47" spans="1:12" x14ac:dyDescent="0.2">
      <c r="A47" s="131"/>
      <c r="B47" s="131"/>
      <c r="C47" s="131"/>
      <c r="D47" s="131"/>
      <c r="E47" s="131"/>
      <c r="F47" s="131"/>
      <c r="G47" s="131"/>
      <c r="H47" s="131"/>
      <c r="I47" s="131"/>
      <c r="J47" s="131"/>
      <c r="K47" s="131"/>
    </row>
    <row r="48" spans="1:12" ht="15" x14ac:dyDescent="0.2">
      <c r="A48" s="131"/>
      <c r="B48" s="131"/>
      <c r="C48" s="131"/>
      <c r="D48" s="131"/>
      <c r="E48" s="131"/>
      <c r="F48" s="131"/>
      <c r="G48" s="131"/>
      <c r="H48" s="6"/>
      <c r="I48" s="161"/>
      <c r="J48" s="43"/>
      <c r="K48" s="131"/>
    </row>
    <row r="49" spans="1:12" x14ac:dyDescent="0.2">
      <c r="A49" s="131"/>
      <c r="B49" s="131"/>
      <c r="C49" s="131"/>
      <c r="D49" s="131"/>
      <c r="E49" s="131"/>
      <c r="F49" s="131"/>
      <c r="G49" s="131"/>
      <c r="H49" s="161"/>
      <c r="I49" s="161"/>
      <c r="J49" s="43"/>
      <c r="K49" s="131"/>
    </row>
    <row r="50" spans="1:12" x14ac:dyDescent="0.2">
      <c r="G50" s="131"/>
      <c r="H50" s="161"/>
      <c r="I50" s="161"/>
      <c r="J50" s="43"/>
      <c r="K50" s="131"/>
    </row>
    <row r="51" spans="1:12" x14ac:dyDescent="0.2">
      <c r="G51" s="131"/>
      <c r="H51" s="161"/>
      <c r="I51" s="161"/>
      <c r="J51" s="43"/>
      <c r="K51" s="131"/>
    </row>
    <row r="52" spans="1:12" x14ac:dyDescent="0.2">
      <c r="G52" s="131"/>
      <c r="H52" s="161"/>
      <c r="I52" s="161"/>
      <c r="J52" s="43"/>
      <c r="K52" s="131"/>
    </row>
    <row r="53" spans="1:12" x14ac:dyDescent="0.2">
      <c r="G53" s="131"/>
      <c r="H53" s="131"/>
      <c r="I53" s="131"/>
      <c r="J53" s="131"/>
      <c r="K53" s="131"/>
    </row>
    <row r="54" spans="1:12" x14ac:dyDescent="0.2">
      <c r="G54" s="131"/>
      <c r="H54" s="131"/>
      <c r="I54" s="131"/>
      <c r="J54" s="131"/>
      <c r="K54" s="131"/>
    </row>
    <row r="56" spans="1:12" x14ac:dyDescent="0.2">
      <c r="J56"/>
      <c r="K56"/>
      <c r="L56"/>
    </row>
    <row r="57" spans="1:12" x14ac:dyDescent="0.2">
      <c r="J57"/>
      <c r="K57"/>
      <c r="L57"/>
    </row>
    <row r="58" spans="1:12" x14ac:dyDescent="0.2">
      <c r="J58"/>
      <c r="K58"/>
      <c r="L58"/>
    </row>
    <row r="59" spans="1:12" x14ac:dyDescent="0.2">
      <c r="J59"/>
      <c r="K59"/>
      <c r="L59"/>
    </row>
    <row r="60" spans="1:12" x14ac:dyDescent="0.2">
      <c r="J60"/>
      <c r="K60"/>
      <c r="L60"/>
    </row>
  </sheetData>
  <mergeCells count="1">
    <mergeCell ref="C1:M1"/>
  </mergeCells>
  <printOptions horizontalCentered="1"/>
  <pageMargins left="0.5" right="0.5" top="0.5" bottom="0.5" header="0" footer="0"/>
  <pageSetup scale="9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showGridLines="0" workbookViewId="0">
      <selection activeCell="O4" sqref="O4"/>
    </sheetView>
  </sheetViews>
  <sheetFormatPr defaultColWidth="8.85546875" defaultRowHeight="12.75" x14ac:dyDescent="0.2"/>
  <cols>
    <col min="1" max="7" width="8.28515625" style="46" customWidth="1"/>
    <col min="8" max="8" width="4.85546875" style="46" customWidth="1"/>
    <col min="9" max="14" width="8.28515625" style="46" customWidth="1"/>
    <col min="15" max="15" width="13.140625" style="46" customWidth="1"/>
    <col min="16" max="19" width="8.28515625" style="46" customWidth="1"/>
    <col min="20" max="16384" width="8.85546875" style="46"/>
  </cols>
  <sheetData>
    <row r="1" spans="1:15" ht="15.75" x14ac:dyDescent="0.25">
      <c r="C1" s="163" t="s">
        <v>11</v>
      </c>
      <c r="D1" s="163"/>
      <c r="E1" s="163"/>
      <c r="F1" s="163"/>
      <c r="G1" s="163"/>
      <c r="H1" s="163"/>
      <c r="I1" s="163"/>
      <c r="J1" s="163"/>
      <c r="K1" s="163"/>
      <c r="L1" s="163"/>
      <c r="M1" s="163"/>
    </row>
    <row r="2" spans="1:15" x14ac:dyDescent="0.2">
      <c r="C2" s="58" t="str">
        <f>Table!A7</f>
        <v>NordAq Energy Inc.</v>
      </c>
      <c r="K2" s="47" t="str">
        <f>Table!L7</f>
        <v>Sample Number:</v>
      </c>
      <c r="O2" s="108" t="str">
        <f>Table!$P$7</f>
        <v>2</v>
      </c>
    </row>
    <row r="3" spans="1:15" x14ac:dyDescent="0.2">
      <c r="C3" s="58" t="str">
        <f>Table!A8</f>
        <v>East Simpson No. 2 (USGS/Husky 1980)</v>
      </c>
      <c r="K3" s="47" t="str">
        <f>Table!L8</f>
        <v>Sample Depth, m:</v>
      </c>
      <c r="O3" s="157">
        <f>Table!$P$8</f>
        <v>6062</v>
      </c>
    </row>
    <row r="4" spans="1:15" x14ac:dyDescent="0.2">
      <c r="C4" s="58" t="str">
        <f>Table!A9</f>
        <v>Torok Sandstones Formation</v>
      </c>
      <c r="K4" s="47" t="str">
        <f>Table!L9</f>
        <v>Permeability to Air (calc), mD:</v>
      </c>
      <c r="M4" s="44"/>
      <c r="N4" s="44"/>
      <c r="O4" s="137">
        <f>Table!$P$9</f>
        <v>0.89798461316350597</v>
      </c>
    </row>
    <row r="5" spans="1:15" x14ac:dyDescent="0.2">
      <c r="C5" s="58" t="str">
        <f>Table!A10</f>
        <v>HH-61176</v>
      </c>
      <c r="D5" s="29"/>
      <c r="E5" s="29"/>
      <c r="F5" s="12"/>
      <c r="G5" s="29"/>
      <c r="K5" s="47" t="str">
        <f>Table!L10</f>
        <v>Porosity, fraction:</v>
      </c>
      <c r="M5" s="44"/>
      <c r="N5" s="44"/>
      <c r="O5" s="137">
        <f>Table!$P$10</f>
        <v>0.13814509138593267</v>
      </c>
    </row>
    <row r="6" spans="1:15" x14ac:dyDescent="0.2">
      <c r="A6" s="44"/>
      <c r="C6" s="58"/>
      <c r="D6" s="65"/>
      <c r="E6" s="65"/>
      <c r="F6" s="65"/>
      <c r="G6" s="44"/>
      <c r="K6" s="47" t="str">
        <f>Table!L11</f>
        <v>Grain Density, grams/cc:</v>
      </c>
      <c r="M6" s="65"/>
      <c r="N6" s="65"/>
      <c r="O6" s="12">
        <f>Table!$P$11</f>
        <v>2.6363657125684052</v>
      </c>
    </row>
    <row r="7" spans="1:15" x14ac:dyDescent="0.2">
      <c r="B7" s="58"/>
      <c r="D7" s="44"/>
      <c r="E7" s="44"/>
      <c r="I7" s="47"/>
      <c r="K7" s="65"/>
      <c r="L7" s="18"/>
      <c r="M7" s="81"/>
    </row>
    <row r="8" spans="1:15" x14ac:dyDescent="0.2">
      <c r="B8" s="44"/>
      <c r="C8" s="44"/>
      <c r="D8" s="44"/>
      <c r="E8" s="44"/>
      <c r="F8" s="44"/>
    </row>
    <row r="9" spans="1:15" x14ac:dyDescent="0.2">
      <c r="B9" s="44"/>
      <c r="C9" s="44"/>
      <c r="D9" s="44"/>
      <c r="E9" s="44"/>
      <c r="F9" s="44"/>
      <c r="K9" s="65"/>
      <c r="L9" s="18"/>
    </row>
    <row r="10" spans="1:15" x14ac:dyDescent="0.2">
      <c r="B10" s="44"/>
      <c r="C10" s="44"/>
      <c r="D10" s="65"/>
      <c r="E10" s="44"/>
      <c r="F10" s="44"/>
      <c r="K10" s="65"/>
      <c r="L10" s="18"/>
    </row>
    <row r="11" spans="1:15" x14ac:dyDescent="0.2">
      <c r="B11" s="44"/>
      <c r="C11" s="44"/>
      <c r="D11" s="65"/>
      <c r="E11" s="44"/>
      <c r="F11" s="44"/>
      <c r="G11" s="47"/>
      <c r="H11" s="44"/>
      <c r="I11" s="44"/>
      <c r="J11" s="137"/>
      <c r="K11" s="65"/>
      <c r="L11" s="18"/>
    </row>
    <row r="12" spans="1:15" x14ac:dyDescent="0.2">
      <c r="A12" s="58"/>
      <c r="B12" s="44"/>
      <c r="C12" s="44"/>
      <c r="D12" s="44"/>
      <c r="E12" s="44"/>
      <c r="F12" s="44"/>
      <c r="G12" s="44"/>
      <c r="H12" s="44"/>
      <c r="I12" s="30"/>
      <c r="J12" s="65"/>
      <c r="K12" s="65"/>
      <c r="L12" s="18"/>
    </row>
    <row r="13" spans="1:15" x14ac:dyDescent="0.2">
      <c r="A13" s="133"/>
      <c r="B13" s="133"/>
      <c r="C13" s="133"/>
      <c r="D13" s="133"/>
      <c r="E13" s="133"/>
      <c r="F13" s="120"/>
      <c r="G13" s="120"/>
      <c r="H13" s="120"/>
      <c r="I13" s="120"/>
      <c r="J13" s="120"/>
      <c r="K13" s="65"/>
      <c r="L13" s="18"/>
    </row>
    <row r="14" spans="1:15" x14ac:dyDescent="0.2">
      <c r="A14" s="133"/>
      <c r="B14" s="133"/>
      <c r="C14" s="133"/>
      <c r="D14" s="133"/>
      <c r="E14" s="133"/>
      <c r="F14" s="133"/>
      <c r="G14" s="133"/>
      <c r="H14" s="133"/>
      <c r="I14" s="120"/>
      <c r="J14" s="120"/>
      <c r="K14" s="44"/>
      <c r="L14" s="18"/>
    </row>
    <row r="15" spans="1:15" x14ac:dyDescent="0.2">
      <c r="A15" s="133"/>
      <c r="B15" s="133"/>
      <c r="C15" s="133"/>
      <c r="D15" s="133"/>
      <c r="E15" s="133"/>
      <c r="F15" s="133"/>
      <c r="G15" s="133"/>
      <c r="H15" s="133"/>
      <c r="I15" s="120"/>
      <c r="J15" s="120"/>
      <c r="K15" s="44"/>
      <c r="L15" s="18"/>
    </row>
    <row r="16" spans="1:15" x14ac:dyDescent="0.2">
      <c r="A16" s="144"/>
      <c r="B16" s="144"/>
      <c r="C16" s="144"/>
      <c r="D16" s="144"/>
      <c r="E16" s="144"/>
      <c r="F16" s="144"/>
      <c r="G16" s="144"/>
      <c r="H16" s="144"/>
      <c r="I16" s="144"/>
      <c r="J16" s="144"/>
      <c r="K16" s="44"/>
      <c r="L16" s="104"/>
    </row>
    <row r="17" spans="1:12" x14ac:dyDescent="0.2">
      <c r="A17" s="136"/>
      <c r="B17" s="33"/>
      <c r="C17" s="33"/>
      <c r="D17" s="4"/>
      <c r="E17" s="51"/>
      <c r="F17" s="68"/>
      <c r="G17" s="68"/>
      <c r="H17" s="68"/>
      <c r="I17" s="68"/>
      <c r="J17" s="68"/>
      <c r="K17" s="44"/>
      <c r="L17" s="104"/>
    </row>
    <row r="18" spans="1:12" x14ac:dyDescent="0.2">
      <c r="A18" s="115"/>
      <c r="B18" s="33"/>
      <c r="C18" s="33"/>
      <c r="D18" s="4"/>
      <c r="E18" s="51"/>
      <c r="F18" s="68"/>
      <c r="G18" s="68"/>
      <c r="H18" s="68"/>
      <c r="I18" s="68"/>
      <c r="J18" s="68"/>
      <c r="K18" s="44"/>
      <c r="L18" s="104"/>
    </row>
    <row r="19" spans="1:12" x14ac:dyDescent="0.2">
      <c r="A19" s="115"/>
      <c r="B19" s="33"/>
      <c r="C19" s="33"/>
      <c r="D19" s="4"/>
      <c r="E19" s="51"/>
      <c r="F19" s="68"/>
      <c r="G19" s="68"/>
      <c r="H19" s="68"/>
      <c r="I19" s="68"/>
      <c r="J19" s="68"/>
      <c r="K19" s="44"/>
      <c r="L19" s="144"/>
    </row>
    <row r="20" spans="1:12" x14ac:dyDescent="0.2">
      <c r="A20" s="115"/>
      <c r="B20" s="33"/>
      <c r="C20" s="33"/>
      <c r="D20" s="4"/>
      <c r="E20" s="51"/>
      <c r="F20" s="68"/>
      <c r="G20" s="68"/>
      <c r="H20" s="68"/>
      <c r="I20" s="68"/>
      <c r="J20" s="68"/>
      <c r="K20" s="44"/>
      <c r="L20" s="56"/>
    </row>
    <row r="21" spans="1:12" x14ac:dyDescent="0.2">
      <c r="A21" s="115"/>
      <c r="B21" s="33"/>
      <c r="C21" s="33"/>
      <c r="D21" s="4"/>
      <c r="E21" s="51"/>
      <c r="F21" s="68"/>
      <c r="G21" s="68"/>
      <c r="H21" s="68"/>
      <c r="I21" s="68"/>
      <c r="J21" s="68"/>
      <c r="K21" s="44"/>
      <c r="L21" s="56"/>
    </row>
    <row r="22" spans="1:12" x14ac:dyDescent="0.2">
      <c r="A22" s="115"/>
      <c r="B22" s="33"/>
      <c r="C22" s="33"/>
      <c r="D22" s="4"/>
      <c r="E22" s="51"/>
      <c r="F22" s="68"/>
      <c r="G22" s="68"/>
      <c r="H22" s="68"/>
      <c r="I22" s="68"/>
      <c r="J22" s="68"/>
      <c r="K22" s="44"/>
      <c r="L22" s="56"/>
    </row>
    <row r="23" spans="1:12" x14ac:dyDescent="0.2">
      <c r="A23" s="126"/>
      <c r="B23" s="33"/>
      <c r="C23" s="33"/>
      <c r="D23" s="4"/>
      <c r="E23" s="51"/>
      <c r="F23" s="68"/>
      <c r="G23" s="68"/>
      <c r="H23" s="68"/>
      <c r="I23" s="68"/>
      <c r="J23" s="68"/>
      <c r="K23" s="44"/>
      <c r="L23" s="56"/>
    </row>
    <row r="24" spans="1:12" x14ac:dyDescent="0.2">
      <c r="A24" s="126"/>
      <c r="B24" s="33"/>
      <c r="C24" s="33"/>
      <c r="D24" s="4"/>
      <c r="E24" s="51"/>
      <c r="F24" s="68"/>
      <c r="G24" s="68"/>
      <c r="H24" s="68"/>
      <c r="I24" s="68"/>
      <c r="J24" s="68"/>
      <c r="K24" s="44"/>
      <c r="L24" s="56"/>
    </row>
    <row r="25" spans="1:12" x14ac:dyDescent="0.2">
      <c r="A25" s="126"/>
      <c r="B25" s="33"/>
      <c r="C25" s="33"/>
      <c r="D25" s="4"/>
      <c r="E25" s="51"/>
      <c r="F25" s="68"/>
      <c r="G25" s="68"/>
      <c r="H25" s="68"/>
      <c r="I25" s="68"/>
      <c r="J25" s="68"/>
      <c r="K25" s="44"/>
      <c r="L25" s="56"/>
    </row>
    <row r="26" spans="1:12" x14ac:dyDescent="0.2">
      <c r="A26" s="126"/>
      <c r="B26" s="33"/>
      <c r="C26" s="33"/>
      <c r="D26" s="4"/>
      <c r="E26" s="51"/>
      <c r="F26" s="68"/>
      <c r="G26" s="68"/>
      <c r="H26" s="68"/>
      <c r="I26" s="68"/>
      <c r="J26" s="68"/>
      <c r="K26" s="44"/>
      <c r="L26" s="56"/>
    </row>
    <row r="27" spans="1:12" x14ac:dyDescent="0.2">
      <c r="A27" s="126"/>
      <c r="B27" s="33"/>
      <c r="C27" s="33"/>
      <c r="D27" s="4"/>
      <c r="E27" s="51"/>
      <c r="F27" s="68"/>
      <c r="G27" s="68"/>
      <c r="H27" s="68"/>
      <c r="I27" s="68"/>
      <c r="J27" s="68"/>
      <c r="K27" s="44"/>
      <c r="L27" s="56"/>
    </row>
    <row r="28" spans="1:12" x14ac:dyDescent="0.2">
      <c r="A28" s="103"/>
      <c r="B28" s="33"/>
      <c r="C28" s="33"/>
      <c r="D28" s="4"/>
      <c r="E28" s="51"/>
      <c r="F28" s="68"/>
      <c r="G28" s="68"/>
      <c r="H28" s="68"/>
      <c r="I28" s="68"/>
      <c r="J28" s="68"/>
      <c r="K28" s="44"/>
      <c r="L28" s="56"/>
    </row>
    <row r="29" spans="1:12" x14ac:dyDescent="0.2">
      <c r="A29" s="103"/>
      <c r="B29" s="33"/>
      <c r="C29" s="33"/>
      <c r="D29" s="4"/>
      <c r="E29" s="51"/>
      <c r="F29" s="68"/>
      <c r="G29" s="68"/>
      <c r="H29" s="68"/>
      <c r="I29" s="68"/>
      <c r="J29" s="68"/>
      <c r="K29" s="44"/>
      <c r="L29" s="56"/>
    </row>
    <row r="30" spans="1:12" x14ac:dyDescent="0.2">
      <c r="A30" s="103"/>
      <c r="B30" s="33"/>
      <c r="C30" s="33"/>
      <c r="D30" s="4"/>
      <c r="E30" s="51"/>
      <c r="F30" s="68"/>
      <c r="G30" s="68"/>
      <c r="H30" s="68"/>
      <c r="I30" s="68"/>
      <c r="J30" s="68"/>
      <c r="K30" s="44"/>
      <c r="L30" s="56"/>
    </row>
    <row r="31" spans="1:12" x14ac:dyDescent="0.2">
      <c r="A31" s="103"/>
      <c r="B31" s="33"/>
      <c r="C31" s="33"/>
      <c r="D31" s="4"/>
      <c r="E31" s="51"/>
      <c r="F31" s="68"/>
      <c r="G31" s="68"/>
      <c r="H31" s="68"/>
      <c r="I31" s="68"/>
      <c r="J31" s="68"/>
      <c r="K31" s="44"/>
      <c r="L31" s="56"/>
    </row>
    <row r="32" spans="1:12" x14ac:dyDescent="0.2">
      <c r="A32" s="103"/>
      <c r="B32" s="33"/>
      <c r="C32" s="33"/>
      <c r="D32" s="4"/>
      <c r="E32" s="51"/>
      <c r="F32" s="68"/>
      <c r="G32" s="68"/>
      <c r="H32" s="68"/>
      <c r="I32" s="68"/>
      <c r="J32" s="68"/>
      <c r="K32" s="44"/>
      <c r="L32" s="56"/>
    </row>
    <row r="33" spans="1:13" x14ac:dyDescent="0.2">
      <c r="A33" s="83"/>
      <c r="B33" s="33"/>
      <c r="C33" s="33"/>
      <c r="D33" s="4"/>
      <c r="E33" s="51"/>
      <c r="F33" s="68"/>
      <c r="G33" s="68"/>
      <c r="H33" s="68"/>
      <c r="I33" s="68"/>
      <c r="J33" s="68"/>
      <c r="K33" s="44"/>
      <c r="L33" s="56"/>
    </row>
    <row r="34" spans="1:13" x14ac:dyDescent="0.2">
      <c r="A34" s="83"/>
      <c r="B34" s="33"/>
      <c r="C34" s="33"/>
      <c r="D34" s="4"/>
      <c r="E34" s="51"/>
      <c r="F34" s="68"/>
      <c r="G34" s="68"/>
      <c r="H34" s="68"/>
      <c r="I34" s="68"/>
      <c r="J34" s="68"/>
      <c r="K34" s="44"/>
      <c r="L34" s="56"/>
    </row>
    <row r="35" spans="1:13" x14ac:dyDescent="0.2">
      <c r="A35" s="83"/>
      <c r="B35" s="33"/>
      <c r="C35" s="33"/>
      <c r="D35" s="4"/>
      <c r="E35" s="51"/>
      <c r="F35" s="68"/>
      <c r="G35" s="68"/>
      <c r="H35" s="68"/>
      <c r="I35" s="68"/>
      <c r="J35" s="68"/>
      <c r="K35" s="44"/>
      <c r="L35" s="56"/>
    </row>
    <row r="36" spans="1:13" x14ac:dyDescent="0.2">
      <c r="A36" s="83"/>
      <c r="B36" s="33"/>
      <c r="C36" s="33"/>
      <c r="D36" s="4"/>
      <c r="E36" s="51"/>
      <c r="F36" s="68"/>
      <c r="G36" s="68"/>
      <c r="H36" s="68"/>
      <c r="I36" s="68"/>
      <c r="J36" s="68"/>
      <c r="K36" s="44"/>
      <c r="L36" s="56"/>
    </row>
    <row r="37" spans="1:13" x14ac:dyDescent="0.2">
      <c r="A37" s="83"/>
      <c r="B37" s="33"/>
      <c r="C37" s="33"/>
      <c r="D37" s="4"/>
      <c r="E37" s="51"/>
      <c r="F37" s="68"/>
      <c r="G37" s="68"/>
      <c r="H37" s="68"/>
      <c r="I37" s="68"/>
      <c r="J37" s="68"/>
      <c r="K37"/>
      <c r="L37"/>
      <c r="M37"/>
    </row>
    <row r="38" spans="1:13" x14ac:dyDescent="0.2">
      <c r="A38" s="83"/>
      <c r="B38" s="33"/>
      <c r="C38" s="33"/>
      <c r="D38" s="4"/>
      <c r="E38" s="51"/>
      <c r="F38" s="68"/>
      <c r="G38" s="68"/>
      <c r="H38" s="68"/>
      <c r="I38" s="68"/>
      <c r="J38" s="68"/>
      <c r="K38"/>
      <c r="L38"/>
      <c r="M38"/>
    </row>
    <row r="39" spans="1:13" x14ac:dyDescent="0.2">
      <c r="A39" s="83"/>
      <c r="B39" s="33"/>
      <c r="C39" s="33"/>
      <c r="D39" s="4"/>
      <c r="E39" s="51"/>
      <c r="F39" s="68"/>
      <c r="G39" s="68"/>
      <c r="H39" s="68"/>
      <c r="I39" s="68"/>
      <c r="J39" s="68"/>
      <c r="K39"/>
      <c r="L39"/>
      <c r="M39"/>
    </row>
    <row r="40" spans="1:13" x14ac:dyDescent="0.2">
      <c r="A40" s="83"/>
      <c r="B40" s="33"/>
      <c r="C40" s="33"/>
      <c r="D40" s="4"/>
      <c r="E40" s="51"/>
      <c r="F40" s="68"/>
      <c r="G40" s="68"/>
      <c r="H40" s="68"/>
      <c r="I40" s="68"/>
      <c r="J40" s="68"/>
      <c r="K40"/>
      <c r="L40"/>
      <c r="M40"/>
    </row>
    <row r="41" spans="1:13" x14ac:dyDescent="0.2">
      <c r="A41" s="83"/>
      <c r="B41" s="33"/>
      <c r="C41" s="33"/>
      <c r="D41" s="4"/>
      <c r="E41" s="51"/>
      <c r="F41" s="68"/>
      <c r="G41" s="68"/>
      <c r="H41" s="68"/>
      <c r="I41" s="68"/>
      <c r="J41" s="68"/>
      <c r="K41"/>
      <c r="L41"/>
      <c r="M41"/>
    </row>
    <row r="42" spans="1:13" x14ac:dyDescent="0.2">
      <c r="A42" s="83"/>
      <c r="B42" s="33"/>
      <c r="C42" s="33"/>
      <c r="D42" s="4"/>
      <c r="E42" s="51"/>
      <c r="F42" s="68"/>
      <c r="G42" s="68"/>
      <c r="H42" s="68"/>
      <c r="I42" s="68"/>
      <c r="J42" s="68"/>
      <c r="K42" s="44"/>
      <c r="L42" s="56"/>
    </row>
    <row r="43" spans="1:13" x14ac:dyDescent="0.2">
      <c r="A43" s="131"/>
      <c r="B43" s="131"/>
      <c r="C43" s="131"/>
      <c r="D43" s="131"/>
      <c r="E43" s="131"/>
      <c r="F43" s="131"/>
      <c r="G43" s="131"/>
      <c r="H43" s="131"/>
      <c r="I43" s="131"/>
      <c r="J43" s="131"/>
    </row>
    <row r="44" spans="1:13" x14ac:dyDescent="0.2">
      <c r="A44" s="131"/>
      <c r="B44" s="131"/>
      <c r="C44" s="131"/>
      <c r="D44" s="131"/>
      <c r="E44" s="131"/>
      <c r="F44" s="131"/>
      <c r="G44" s="131"/>
      <c r="H44" s="131"/>
      <c r="I44" s="131"/>
      <c r="J44" s="131"/>
    </row>
    <row r="45" spans="1:13" x14ac:dyDescent="0.2">
      <c r="A45" s="131"/>
      <c r="B45" s="131"/>
      <c r="C45" s="131"/>
      <c r="D45" s="131"/>
      <c r="E45" s="131"/>
      <c r="F45" s="131"/>
      <c r="G45" s="131"/>
      <c r="H45" s="131"/>
      <c r="I45" s="131"/>
      <c r="J45" s="131"/>
    </row>
    <row r="46" spans="1:13" x14ac:dyDescent="0.2">
      <c r="A46" s="131"/>
      <c r="B46" s="131"/>
      <c r="C46" s="131"/>
      <c r="D46" s="131"/>
      <c r="E46" s="131"/>
      <c r="F46" s="131"/>
      <c r="G46" s="131"/>
      <c r="H46" s="131"/>
      <c r="I46" s="131"/>
      <c r="J46" s="131"/>
    </row>
    <row r="47" spans="1:13" x14ac:dyDescent="0.2">
      <c r="A47" s="131"/>
      <c r="B47" s="131"/>
      <c r="C47" s="131"/>
      <c r="D47" s="131"/>
      <c r="E47" s="131"/>
      <c r="F47" s="131"/>
      <c r="G47" s="131"/>
    </row>
    <row r="48" spans="1:13" x14ac:dyDescent="0.2">
      <c r="A48" s="131"/>
      <c r="B48" s="131"/>
      <c r="C48" s="131"/>
      <c r="D48" s="131"/>
      <c r="E48" s="131"/>
      <c r="F48" s="131"/>
      <c r="G48" s="131"/>
    </row>
    <row r="55" spans="10:12" x14ac:dyDescent="0.2">
      <c r="J55"/>
      <c r="K55"/>
      <c r="L55"/>
    </row>
    <row r="56" spans="10:12" x14ac:dyDescent="0.2">
      <c r="J56"/>
      <c r="K56"/>
      <c r="L56"/>
    </row>
    <row r="57" spans="10:12" x14ac:dyDescent="0.2">
      <c r="J57"/>
      <c r="K57"/>
      <c r="L57"/>
    </row>
    <row r="58" spans="10:12" x14ac:dyDescent="0.2">
      <c r="J58"/>
      <c r="K58"/>
      <c r="L58"/>
    </row>
    <row r="59" spans="10:12" x14ac:dyDescent="0.2">
      <c r="J59"/>
      <c r="K59"/>
      <c r="L59"/>
    </row>
  </sheetData>
  <mergeCells count="1">
    <mergeCell ref="C1:M1"/>
  </mergeCells>
  <printOptions horizontalCentered="1"/>
  <pageMargins left="0.5" right="0.5" top="0.5" bottom="0.5" header="0" footer="0"/>
  <pageSetup scale="74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/>
  <dimension ref="A1:AV190"/>
  <sheetViews>
    <sheetView showGridLines="0" workbookViewId="0">
      <pane xSplit="2" ySplit="16" topLeftCell="C17" activePane="bottomRight" state="frozen"/>
      <selection pane="topRight" activeCell="C1" sqref="C1"/>
      <selection pane="bottomLeft" activeCell="A17" sqref="A17"/>
      <selection pane="bottomRight" activeCell="A11" sqref="A11"/>
    </sheetView>
  </sheetViews>
  <sheetFormatPr defaultColWidth="8.85546875" defaultRowHeight="12.75" x14ac:dyDescent="0.2"/>
  <cols>
    <col min="1" max="2" width="8.85546875" style="46"/>
    <col min="3" max="3" width="11.140625" style="46" customWidth="1"/>
    <col min="4" max="4" width="16.28515625" style="46" customWidth="1"/>
    <col min="5" max="8" width="10.85546875" style="46" customWidth="1"/>
    <col min="9" max="9" width="11.140625" style="46" customWidth="1"/>
    <col min="10" max="10" width="11.85546875" style="46" customWidth="1"/>
    <col min="11" max="11" width="9.85546875" style="46" bestFit="1" customWidth="1"/>
    <col min="12" max="12" width="10.5703125" style="46" customWidth="1"/>
    <col min="13" max="14" width="10.5703125" style="46" bestFit="1" customWidth="1"/>
    <col min="15" max="15" width="8.85546875" style="46" customWidth="1"/>
    <col min="16" max="16" width="10.5703125" style="46" bestFit="1" customWidth="1"/>
    <col min="17" max="17" width="9.5703125" style="46" customWidth="1"/>
    <col min="18" max="18" width="8.85546875" style="46" customWidth="1"/>
    <col min="19" max="19" width="10.85546875" style="46" customWidth="1"/>
    <col min="20" max="20" width="11.140625" style="46" customWidth="1"/>
    <col min="21" max="21" width="9.28515625" style="46" customWidth="1"/>
    <col min="22" max="22" width="10.7109375" style="46" customWidth="1"/>
    <col min="23" max="23" width="10.5703125" style="46" customWidth="1"/>
    <col min="24" max="24" width="11" style="46" customWidth="1"/>
    <col min="25" max="25" width="9.140625"/>
    <col min="26" max="26" width="13" style="46" customWidth="1"/>
    <col min="27" max="28" width="8.85546875" style="46"/>
    <col min="29" max="29" width="12.140625" style="46" bestFit="1" customWidth="1"/>
    <col min="30" max="39" width="8.85546875" style="46"/>
    <col min="40" max="40" width="15.85546875" style="46" customWidth="1"/>
    <col min="41" max="43" width="8.85546875" style="46"/>
    <col min="44" max="48" width="8.85546875" style="131"/>
    <col min="49" max="16384" width="8.85546875" style="46"/>
  </cols>
  <sheetData>
    <row r="1" spans="1:48" x14ac:dyDescent="0.2">
      <c r="P1" s="31"/>
      <c r="Q1" s="31"/>
      <c r="Z1" s="16" t="s">
        <v>50</v>
      </c>
      <c r="AA1" s="148"/>
      <c r="AB1" s="148"/>
      <c r="AC1" s="2"/>
      <c r="AD1" s="2"/>
    </row>
    <row r="2" spans="1:48" x14ac:dyDescent="0.2">
      <c r="Z2" s="138"/>
      <c r="AA2" s="119"/>
      <c r="AB2" s="40" t="s">
        <v>66</v>
      </c>
      <c r="AC2" s="40" t="s">
        <v>51</v>
      </c>
      <c r="AD2" s="155" t="s">
        <v>0</v>
      </c>
      <c r="AE2" s="64" t="s">
        <v>28</v>
      </c>
    </row>
    <row r="3" spans="1:48" x14ac:dyDescent="0.2">
      <c r="P3" s="37"/>
      <c r="Q3" s="37"/>
      <c r="Z3" s="121" t="s">
        <v>83</v>
      </c>
      <c r="AA3" s="144"/>
      <c r="AB3" s="100">
        <v>130</v>
      </c>
      <c r="AC3" s="104"/>
      <c r="AD3" s="1"/>
      <c r="AE3" s="127"/>
    </row>
    <row r="4" spans="1:48" x14ac:dyDescent="0.2">
      <c r="Z4" s="121" t="s">
        <v>22</v>
      </c>
      <c r="AA4" s="144"/>
      <c r="AB4" s="100">
        <v>485</v>
      </c>
      <c r="AC4" s="104"/>
      <c r="AD4" s="1"/>
      <c r="AE4" s="127"/>
      <c r="AN4" s="171" t="s">
        <v>30</v>
      </c>
      <c r="AO4" s="172"/>
      <c r="AP4" s="173"/>
      <c r="AR4" s="170"/>
      <c r="AS4" s="170"/>
      <c r="AT4" s="170"/>
    </row>
    <row r="5" spans="1:48" ht="15.75" x14ac:dyDescent="0.25">
      <c r="A5" s="163" t="s">
        <v>11</v>
      </c>
      <c r="B5" s="163"/>
      <c r="C5" s="163"/>
      <c r="D5" s="163"/>
      <c r="E5" s="163"/>
      <c r="F5" s="163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48"/>
      <c r="R5" s="65"/>
      <c r="S5" s="65"/>
      <c r="T5" s="65"/>
      <c r="U5" s="65"/>
      <c r="V5" s="65"/>
      <c r="W5" s="65"/>
      <c r="X5" s="65"/>
      <c r="Z5" s="121" t="s">
        <v>31</v>
      </c>
      <c r="AA5" s="144"/>
      <c r="AB5" s="104"/>
      <c r="AC5" s="88">
        <v>0</v>
      </c>
      <c r="AD5" s="88">
        <v>0</v>
      </c>
      <c r="AE5" s="123">
        <v>30</v>
      </c>
      <c r="AN5" s="72" t="s">
        <v>44</v>
      </c>
      <c r="AO5" s="72" t="s">
        <v>33</v>
      </c>
      <c r="AP5" s="72" t="s">
        <v>55</v>
      </c>
      <c r="AR5" s="61"/>
      <c r="AS5" s="61"/>
      <c r="AT5" s="61"/>
    </row>
    <row r="6" spans="1:48" x14ac:dyDescent="0.2">
      <c r="A6" s="44"/>
      <c r="B6" s="65"/>
      <c r="C6" s="65"/>
      <c r="D6" s="44"/>
      <c r="E6" s="44"/>
      <c r="F6" s="44"/>
      <c r="G6" s="44"/>
      <c r="H6" s="44"/>
      <c r="I6" s="44"/>
      <c r="J6" s="44"/>
      <c r="K6" s="65"/>
      <c r="L6" s="65"/>
      <c r="M6" s="65"/>
      <c r="N6" s="44"/>
      <c r="O6" s="65"/>
      <c r="P6" s="65"/>
      <c r="Q6" s="65"/>
      <c r="R6" s="65"/>
      <c r="S6" s="65"/>
      <c r="T6" s="65"/>
      <c r="U6" s="65"/>
      <c r="V6" s="65"/>
      <c r="W6" s="65"/>
      <c r="X6" s="65"/>
      <c r="Z6" s="121" t="s">
        <v>29</v>
      </c>
      <c r="AA6" s="144"/>
      <c r="AB6" s="104"/>
      <c r="AC6" s="96">
        <v>70</v>
      </c>
      <c r="AD6" s="100">
        <v>24</v>
      </c>
      <c r="AE6" s="80">
        <v>35</v>
      </c>
      <c r="AN6" s="142" t="s">
        <v>46</v>
      </c>
      <c r="AO6" s="142" t="s">
        <v>25</v>
      </c>
      <c r="AP6" s="142" t="s">
        <v>25</v>
      </c>
      <c r="AR6" s="61"/>
      <c r="AS6" s="61"/>
      <c r="AT6" s="61"/>
    </row>
    <row r="7" spans="1:48" ht="12.4" customHeight="1" x14ac:dyDescent="0.2">
      <c r="A7" s="89" t="s">
        <v>93</v>
      </c>
      <c r="B7" s="44"/>
      <c r="C7" s="44"/>
      <c r="D7" s="65"/>
      <c r="E7" s="65"/>
      <c r="F7" s="65"/>
      <c r="G7" s="65"/>
      <c r="H7" s="65"/>
      <c r="I7" s="65"/>
      <c r="J7" s="65"/>
      <c r="K7" s="44"/>
      <c r="L7" s="46" t="s">
        <v>40</v>
      </c>
      <c r="P7" s="108" t="s">
        <v>79</v>
      </c>
      <c r="Q7" s="108"/>
      <c r="R7" s="65"/>
      <c r="S7" s="65"/>
      <c r="T7" s="65"/>
      <c r="U7" s="65"/>
      <c r="V7" s="65"/>
      <c r="W7" s="65"/>
      <c r="X7" s="65"/>
      <c r="Z7" s="23" t="s">
        <v>24</v>
      </c>
      <c r="AA7" s="129"/>
      <c r="AB7" s="90"/>
      <c r="AC7" s="96">
        <v>0</v>
      </c>
      <c r="AD7" s="132"/>
      <c r="AE7" s="80">
        <v>30</v>
      </c>
      <c r="AN7" s="152" t="s">
        <v>82</v>
      </c>
      <c r="AO7" s="71">
        <v>1</v>
      </c>
      <c r="AP7" s="71">
        <f t="shared" ref="AP7:AP27" si="0">AO7-AO8</f>
        <v>0</v>
      </c>
      <c r="AR7" s="79" t="s">
        <v>82</v>
      </c>
      <c r="AS7" s="147"/>
      <c r="AT7" s="147"/>
      <c r="AU7" s="118"/>
      <c r="AV7" s="118"/>
    </row>
    <row r="8" spans="1:48" ht="12.4" customHeight="1" x14ac:dyDescent="0.2">
      <c r="A8" s="89" t="s">
        <v>94</v>
      </c>
      <c r="B8" s="44"/>
      <c r="C8" s="44"/>
      <c r="D8" s="44"/>
      <c r="E8" s="44"/>
      <c r="F8" s="44"/>
      <c r="G8" s="44"/>
      <c r="H8" s="44"/>
      <c r="I8" s="44"/>
      <c r="J8" s="44"/>
      <c r="K8" s="44"/>
      <c r="L8" s="46" t="s">
        <v>92</v>
      </c>
      <c r="P8" s="157">
        <v>6062</v>
      </c>
      <c r="Q8" s="19"/>
      <c r="R8" s="65"/>
      <c r="S8" s="65"/>
      <c r="T8" s="65"/>
      <c r="U8" s="65"/>
      <c r="V8" s="65"/>
      <c r="W8" s="65"/>
      <c r="X8" s="65"/>
      <c r="Z8" s="114" t="s">
        <v>81</v>
      </c>
      <c r="AA8" s="153"/>
      <c r="AB8" s="112"/>
      <c r="AC8" s="60">
        <v>50</v>
      </c>
      <c r="AD8" s="101"/>
      <c r="AE8" s="130">
        <v>25</v>
      </c>
      <c r="AN8" s="10">
        <f>E135</f>
        <v>1.5413150011841902E-3</v>
      </c>
      <c r="AO8" s="71">
        <f>B135</f>
        <v>1</v>
      </c>
      <c r="AP8" s="71">
        <f t="shared" si="0"/>
        <v>0</v>
      </c>
      <c r="AR8" s="97">
        <v>1.8387307309880479E-3</v>
      </c>
      <c r="AS8" s="147"/>
      <c r="AT8" s="147"/>
      <c r="AU8" s="110"/>
      <c r="AV8" s="76"/>
    </row>
    <row r="9" spans="1:48" ht="12.4" customHeight="1" x14ac:dyDescent="0.2">
      <c r="A9" s="58" t="s">
        <v>95</v>
      </c>
      <c r="B9" s="44"/>
      <c r="C9" s="44"/>
      <c r="D9" s="44"/>
      <c r="E9" s="44"/>
      <c r="F9" s="44"/>
      <c r="G9" s="44"/>
      <c r="H9" s="44"/>
      <c r="I9" s="44"/>
      <c r="J9" s="44"/>
      <c r="K9" s="44"/>
      <c r="L9" s="47" t="s">
        <v>74</v>
      </c>
      <c r="N9" s="44"/>
      <c r="O9" s="44"/>
      <c r="P9" s="162">
        <f>MAX(V18:V135)</f>
        <v>0.89798461316350597</v>
      </c>
      <c r="Q9" s="73"/>
      <c r="R9" s="65"/>
      <c r="S9" s="65"/>
      <c r="T9" s="65"/>
      <c r="U9" s="65"/>
      <c r="V9" s="65"/>
      <c r="W9" s="65"/>
      <c r="X9" s="65"/>
      <c r="Z9" s="34" t="s">
        <v>10</v>
      </c>
      <c r="AA9" s="129"/>
      <c r="AB9" s="129"/>
      <c r="AC9" s="36">
        <f>ABS($AC$6*COS($AC$5*PI()/180))</f>
        <v>70</v>
      </c>
      <c r="AD9" s="36">
        <f>ABS($AD$6*COS($AD$5*PI()/180))</f>
        <v>24</v>
      </c>
      <c r="AE9" s="62">
        <f>ABS($AE$6*COS($AE$5*PI()/180))</f>
        <v>30.310889132455355</v>
      </c>
      <c r="AN9" s="10">
        <f>E133</f>
        <v>1.8305135307821903E-3</v>
      </c>
      <c r="AO9" s="71">
        <f>B133</f>
        <v>1</v>
      </c>
      <c r="AP9" s="71">
        <f t="shared" si="0"/>
        <v>9.7406959559317441E-3</v>
      </c>
      <c r="AR9" s="97">
        <v>2.3796891258599209E-3</v>
      </c>
      <c r="AS9" s="147"/>
      <c r="AT9" s="147"/>
      <c r="AU9" s="110"/>
      <c r="AV9" s="76"/>
    </row>
    <row r="10" spans="1:48" ht="12.4" customHeight="1" x14ac:dyDescent="0.2">
      <c r="A10" s="107" t="s">
        <v>96</v>
      </c>
      <c r="B10" s="44"/>
      <c r="C10" s="44"/>
      <c r="D10" s="65"/>
      <c r="E10" s="65"/>
      <c r="F10" s="65"/>
      <c r="G10" s="65"/>
      <c r="H10" s="65"/>
      <c r="I10" s="65"/>
      <c r="J10" s="65"/>
      <c r="K10" s="44"/>
      <c r="L10" s="47" t="s">
        <v>52</v>
      </c>
      <c r="N10" s="44"/>
      <c r="O10" s="44"/>
      <c r="P10" s="137">
        <f>'Raw Data'!M10</f>
        <v>0.13814509138593267</v>
      </c>
      <c r="Q10" s="137"/>
      <c r="R10" s="65"/>
      <c r="S10" s="65"/>
      <c r="T10" s="65"/>
      <c r="U10" s="65"/>
      <c r="V10" s="65"/>
      <c r="W10" s="65"/>
      <c r="X10" s="65"/>
      <c r="Z10" s="125" t="s">
        <v>60</v>
      </c>
      <c r="AA10" s="153"/>
      <c r="AB10" s="153"/>
      <c r="AC10" s="63">
        <f>ABS($AC$8*COS($AC$7*PI()/180))</f>
        <v>50</v>
      </c>
      <c r="AD10" s="112"/>
      <c r="AE10" s="52">
        <f>ABS($AE$8*COS($AE$7*PI()/180))</f>
        <v>21.650635094610969</v>
      </c>
      <c r="AN10" s="10">
        <f>E125</f>
        <v>3.7572678416271832E-3</v>
      </c>
      <c r="AO10" s="71">
        <f>$B125</f>
        <v>0.99025930404406826</v>
      </c>
      <c r="AP10" s="71">
        <f t="shared" si="0"/>
        <v>1.5383581889023112E-2</v>
      </c>
      <c r="AR10" s="97">
        <v>4.918869133300207E-3</v>
      </c>
      <c r="AS10" s="147"/>
      <c r="AT10" s="147"/>
      <c r="AU10" s="110"/>
      <c r="AV10" s="76"/>
    </row>
    <row r="11" spans="1:48" ht="12.4" customHeight="1" x14ac:dyDescent="0.2">
      <c r="A11" s="107"/>
      <c r="B11" s="44"/>
      <c r="C11" s="44"/>
      <c r="D11" s="65"/>
      <c r="E11" s="65"/>
      <c r="F11" s="65"/>
      <c r="G11" s="65"/>
      <c r="H11" s="65"/>
      <c r="I11" s="65"/>
      <c r="J11" s="65"/>
      <c r="K11" s="44"/>
      <c r="L11" s="46" t="s">
        <v>23</v>
      </c>
      <c r="P11" s="12">
        <f>'Raw Data'!M11</f>
        <v>2.6363657125684052</v>
      </c>
      <c r="Q11" s="12"/>
      <c r="R11" s="65"/>
      <c r="V11" s="65"/>
      <c r="W11" s="65"/>
      <c r="X11" s="65"/>
      <c r="Z11" s="44"/>
      <c r="AA11" s="102" t="s">
        <v>47</v>
      </c>
      <c r="AB11" s="78"/>
      <c r="AC11" s="78"/>
      <c r="AD11" s="8"/>
      <c r="AN11" s="10">
        <f>E120</f>
        <v>5.8777651127116318E-3</v>
      </c>
      <c r="AO11" s="71">
        <f>$B120</f>
        <v>0.97487572215504514</v>
      </c>
      <c r="AP11" s="71">
        <f t="shared" si="0"/>
        <v>1.330108827085863E-2</v>
      </c>
      <c r="AR11" s="97">
        <v>7.6659819593601552E-3</v>
      </c>
      <c r="AS11" s="147"/>
      <c r="AT11" s="147"/>
      <c r="AU11" s="110"/>
      <c r="AV11" s="76"/>
    </row>
    <row r="12" spans="1:48" ht="12.4" customHeight="1" x14ac:dyDescent="0.2">
      <c r="B12" s="44"/>
      <c r="C12" s="44"/>
      <c r="D12" s="55"/>
      <c r="E12" s="44"/>
      <c r="F12" s="44"/>
      <c r="G12" s="44"/>
      <c r="H12" s="44"/>
      <c r="I12" s="44"/>
      <c r="J12" s="44"/>
      <c r="K12" s="44"/>
      <c r="L12" s="44"/>
      <c r="M12" s="47"/>
      <c r="N12" s="44"/>
      <c r="O12" s="44"/>
      <c r="P12" s="81"/>
      <c r="Q12" s="81"/>
      <c r="R12" s="65"/>
      <c r="S12" s="65"/>
      <c r="T12" s="65"/>
      <c r="U12" s="65"/>
      <c r="V12" s="65"/>
      <c r="W12" s="65"/>
      <c r="X12" s="65"/>
      <c r="Z12" s="44"/>
      <c r="AA12" s="149" t="s">
        <v>71</v>
      </c>
      <c r="AB12" s="119"/>
      <c r="AC12" s="53">
        <v>0.433</v>
      </c>
      <c r="AD12" s="65"/>
      <c r="AN12" s="71">
        <f>E117</f>
        <v>7.7067508017006807E-3</v>
      </c>
      <c r="AO12" s="71">
        <f>$B117</f>
        <v>0.96157463388418651</v>
      </c>
      <c r="AP12" s="71">
        <f t="shared" si="0"/>
        <v>6.6639795781270994E-2</v>
      </c>
      <c r="AR12" s="147">
        <v>1.0017670706649362E-2</v>
      </c>
      <c r="AS12" s="147"/>
      <c r="AT12" s="147"/>
      <c r="AU12" s="110"/>
      <c r="AV12" s="76"/>
    </row>
    <row r="13" spans="1:48" ht="12.4" customHeight="1" x14ac:dyDescent="0.2">
      <c r="Z13" s="44"/>
      <c r="AA13" s="23" t="s">
        <v>14</v>
      </c>
      <c r="AB13" s="129"/>
      <c r="AC13" s="116">
        <v>0.34599999999999997</v>
      </c>
      <c r="AD13" s="44"/>
      <c r="AN13" s="71">
        <f>E107</f>
        <v>1.8917856728021116E-2</v>
      </c>
      <c r="AO13" s="71">
        <f>$B107</f>
        <v>0.89493483810291552</v>
      </c>
      <c r="AP13" s="71">
        <f t="shared" si="0"/>
        <v>7.2484213354830018E-2</v>
      </c>
      <c r="AR13" s="147">
        <v>2.4302503920103202E-2</v>
      </c>
      <c r="AS13" s="147"/>
      <c r="AT13" s="147"/>
      <c r="AU13" s="110"/>
      <c r="AV13" s="76"/>
    </row>
    <row r="14" spans="1:48" ht="12.4" customHeight="1" x14ac:dyDescent="0.2">
      <c r="A14" s="39" t="s">
        <v>85</v>
      </c>
      <c r="B14" s="39" t="s">
        <v>62</v>
      </c>
      <c r="C14" s="39" t="s">
        <v>45</v>
      </c>
      <c r="D14" s="45" t="s">
        <v>91</v>
      </c>
      <c r="E14" s="39" t="s">
        <v>89</v>
      </c>
      <c r="F14" s="39" t="s">
        <v>89</v>
      </c>
      <c r="G14" s="39" t="s">
        <v>13</v>
      </c>
      <c r="H14" s="39" t="s">
        <v>16</v>
      </c>
      <c r="I14" s="39" t="s">
        <v>67</v>
      </c>
      <c r="J14" s="39" t="s">
        <v>80</v>
      </c>
      <c r="K14" s="39"/>
      <c r="L14" s="124" t="s">
        <v>86</v>
      </c>
      <c r="M14" s="48"/>
      <c r="N14" s="38"/>
      <c r="O14" s="124" t="s">
        <v>17</v>
      </c>
      <c r="P14" s="38"/>
      <c r="Q14" s="38" t="s">
        <v>7</v>
      </c>
      <c r="R14" s="39" t="s">
        <v>62</v>
      </c>
      <c r="S14" s="39" t="s">
        <v>37</v>
      </c>
      <c r="T14" s="39" t="s">
        <v>58</v>
      </c>
      <c r="U14" s="39"/>
      <c r="V14" s="39" t="s">
        <v>27</v>
      </c>
      <c r="W14" s="39" t="s">
        <v>87</v>
      </c>
      <c r="X14" s="39" t="s">
        <v>87</v>
      </c>
      <c r="Z14" s="44"/>
      <c r="AA14" s="114" t="s">
        <v>12</v>
      </c>
      <c r="AB14" s="153"/>
      <c r="AC14" s="7">
        <v>0.1</v>
      </c>
      <c r="AD14" s="44"/>
      <c r="AN14" s="71">
        <f>E99</f>
        <v>3.8676151341720096E-2</v>
      </c>
      <c r="AO14" s="71">
        <f>$B99</f>
        <v>0.8224506247480855</v>
      </c>
      <c r="AP14" s="71">
        <f t="shared" si="0"/>
        <v>4.2657530565632151E-2</v>
      </c>
      <c r="AR14" s="147">
        <v>4.9484801750667114E-2</v>
      </c>
      <c r="AS14" s="147"/>
      <c r="AT14" s="147"/>
      <c r="AU14" s="110"/>
      <c r="AV14" s="76"/>
    </row>
    <row r="15" spans="1:48" ht="12.4" customHeight="1" x14ac:dyDescent="0.2">
      <c r="A15" s="128" t="s">
        <v>77</v>
      </c>
      <c r="B15" s="128" t="s">
        <v>5</v>
      </c>
      <c r="C15" s="128" t="s">
        <v>5</v>
      </c>
      <c r="D15" s="139" t="s">
        <v>69</v>
      </c>
      <c r="E15" s="128" t="s">
        <v>78</v>
      </c>
      <c r="F15" s="128" t="s">
        <v>53</v>
      </c>
      <c r="G15" s="128" t="s">
        <v>32</v>
      </c>
      <c r="H15" s="128" t="s">
        <v>32</v>
      </c>
      <c r="I15" s="128" t="s">
        <v>75</v>
      </c>
      <c r="J15" s="128" t="s">
        <v>75</v>
      </c>
      <c r="K15" s="128" t="s">
        <v>88</v>
      </c>
      <c r="L15" s="39" t="s">
        <v>73</v>
      </c>
      <c r="M15" s="39" t="s">
        <v>4</v>
      </c>
      <c r="N15" s="39" t="s">
        <v>41</v>
      </c>
      <c r="O15" s="113" t="s">
        <v>1</v>
      </c>
      <c r="P15" s="160"/>
      <c r="Q15" s="160" t="s">
        <v>8</v>
      </c>
      <c r="R15" s="128" t="s">
        <v>33</v>
      </c>
      <c r="S15" s="128" t="s">
        <v>43</v>
      </c>
      <c r="T15" s="128" t="s">
        <v>87</v>
      </c>
      <c r="U15" s="128" t="s">
        <v>27</v>
      </c>
      <c r="V15" s="128" t="s">
        <v>87</v>
      </c>
      <c r="W15" s="128" t="s">
        <v>42</v>
      </c>
      <c r="X15" s="128" t="s">
        <v>42</v>
      </c>
      <c r="Z15" s="65"/>
      <c r="AN15" s="71">
        <f>E95</f>
        <v>5.562583028801326E-2</v>
      </c>
      <c r="AO15" s="71">
        <f>$B95</f>
        <v>0.77979309418245335</v>
      </c>
      <c r="AP15" s="71">
        <f t="shared" si="0"/>
        <v>4.883783420663701E-2</v>
      </c>
      <c r="AR15" s="147">
        <v>7.1632047862346573E-2</v>
      </c>
      <c r="AS15" s="147"/>
      <c r="AT15" s="147"/>
      <c r="AU15" s="110"/>
      <c r="AV15" s="76"/>
    </row>
    <row r="16" spans="1:48" ht="12.4" customHeight="1" x14ac:dyDescent="0.2">
      <c r="A16" s="59" t="s">
        <v>48</v>
      </c>
      <c r="B16" s="59" t="s">
        <v>25</v>
      </c>
      <c r="C16" s="59" t="s">
        <v>25</v>
      </c>
      <c r="D16" s="69" t="s">
        <v>25</v>
      </c>
      <c r="E16" s="59" t="s">
        <v>54</v>
      </c>
      <c r="F16" s="59" t="s">
        <v>63</v>
      </c>
      <c r="G16" s="59" t="s">
        <v>59</v>
      </c>
      <c r="H16" s="59" t="s">
        <v>59</v>
      </c>
      <c r="I16" s="59" t="s">
        <v>54</v>
      </c>
      <c r="J16" s="59" t="s">
        <v>54</v>
      </c>
      <c r="K16" s="59" t="s">
        <v>68</v>
      </c>
      <c r="L16" s="59" t="s">
        <v>48</v>
      </c>
      <c r="M16" s="59" t="s">
        <v>48</v>
      </c>
      <c r="N16" s="59" t="s">
        <v>48</v>
      </c>
      <c r="O16" s="117" t="s">
        <v>65</v>
      </c>
      <c r="P16" s="117" t="s">
        <v>34</v>
      </c>
      <c r="Q16" s="59" t="s">
        <v>70</v>
      </c>
      <c r="R16" s="59" t="s">
        <v>21</v>
      </c>
      <c r="S16" s="59" t="s">
        <v>20</v>
      </c>
      <c r="T16" s="59"/>
      <c r="U16" s="59"/>
      <c r="V16" s="57"/>
      <c r="W16" s="69" t="s">
        <v>6</v>
      </c>
      <c r="X16" s="69" t="s">
        <v>90</v>
      </c>
      <c r="Z16" s="47" t="s">
        <v>72</v>
      </c>
      <c r="AA16" s="65"/>
      <c r="AB16" s="65"/>
      <c r="AC16" s="159">
        <f>ABS(Table!$AB$4*COS(Table!$AB$3*PI()/180))</f>
        <v>311.75199069797156</v>
      </c>
      <c r="AN16" s="71">
        <f>E91</f>
        <v>7.984326282459768E-2</v>
      </c>
      <c r="AO16" s="71">
        <f>$B91</f>
        <v>0.73095525997581634</v>
      </c>
      <c r="AP16" s="71">
        <f t="shared" si="0"/>
        <v>0.1473868063952708</v>
      </c>
      <c r="AR16" s="147">
        <v>9.9921582517046942E-2</v>
      </c>
      <c r="AS16" s="147"/>
      <c r="AT16" s="147"/>
      <c r="AU16" s="110"/>
      <c r="AV16" s="76"/>
    </row>
    <row r="17" spans="1:48" ht="12.4" customHeight="1" x14ac:dyDescent="0.2">
      <c r="A17" s="49"/>
      <c r="B17" s="111"/>
      <c r="C17" s="65"/>
      <c r="D17" s="75"/>
      <c r="E17" s="65"/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5"/>
      <c r="Q17" s="65"/>
      <c r="R17" s="44"/>
      <c r="S17" s="44"/>
      <c r="T17" s="44"/>
      <c r="U17" s="44"/>
      <c r="V17" s="44"/>
      <c r="W17" s="44"/>
      <c r="X17" s="44"/>
      <c r="AC17" s="84">
        <f ca="1">FORECAST(200,OFFSET(L$17,MATCH(200,L$18:L135, 1),-9,2,1),OFFSET(L$17,MATCH(200,L$18:L135, 1),0,2,1))</f>
        <v>0.30737648058580413</v>
      </c>
      <c r="AN17" s="71">
        <f>E81</f>
        <v>0.19549932175457074</v>
      </c>
      <c r="AO17" s="71">
        <f>$B81</f>
        <v>0.58356845358054554</v>
      </c>
      <c r="AP17" s="71">
        <f t="shared" si="0"/>
        <v>0.14611043933897627</v>
      </c>
      <c r="AR17" s="147">
        <v>0.25452110435346964</v>
      </c>
      <c r="AS17" s="147"/>
      <c r="AT17" s="147"/>
      <c r="AU17" s="110"/>
      <c r="AV17" s="76"/>
    </row>
    <row r="18" spans="1:48" ht="12.4" customHeight="1" x14ac:dyDescent="0.2">
      <c r="A18" s="49">
        <v>1.5249248743057251</v>
      </c>
      <c r="B18" s="111">
        <v>0</v>
      </c>
      <c r="C18" s="111">
        <f t="shared" ref="C18:C135" si="1">1-B18</f>
        <v>1</v>
      </c>
      <c r="D18" s="15">
        <f t="shared" ref="D18:D135" si="2">B18-B17</f>
        <v>0</v>
      </c>
      <c r="E18" s="5">
        <f>(2*Table!$AC$16*0.147)/A18</f>
        <v>60.104656176542989</v>
      </c>
      <c r="F18" s="5">
        <f t="shared" ref="F18:F135" si="3">E18*2</f>
        <v>120.20931235308598</v>
      </c>
      <c r="G18" s="49">
        <f>IF((('Raw Data'!C18)/('Raw Data'!C$135)*100)&lt;0,0,('Raw Data'!C18)/('Raw Data'!C$135)*100)</f>
        <v>0</v>
      </c>
      <c r="H18" s="49">
        <f t="shared" ref="H18:H135" si="4">G18-G17</f>
        <v>0</v>
      </c>
      <c r="I18" s="85">
        <f t="shared" ref="I18:I135" si="5">IF(E17&gt;0,LOG(E17)-LOG(E18), LOG(E18))</f>
        <v>1.7789081171516834</v>
      </c>
      <c r="J18" s="5">
        <f>'Raw Data'!F18/I18</f>
        <v>0</v>
      </c>
      <c r="K18" s="24">
        <f t="shared" ref="K18:K135" si="6">(0.2166095*A18*(SQRT(P$9/P$10)))/(485*-COS(RADIANS(130)))</f>
        <v>2.701366014055961E-3</v>
      </c>
      <c r="L18" s="49">
        <f>A18*Table!$AC$9/$AC$16</f>
        <v>0.34240275727642788</v>
      </c>
      <c r="M18" s="49">
        <f>A18*Table!$AD$9/$AC$16</f>
        <v>0.11739523106620384</v>
      </c>
      <c r="N18" s="49">
        <f>ABS(A18*Table!$AE$9/$AC$16)</f>
        <v>0.14826474306361181</v>
      </c>
      <c r="O18" s="49">
        <f>($L18*(Table!$AC$10/Table!$AC$9)/(Table!$AC$12-Table!$AC$14))</f>
        <v>0.73445464881258671</v>
      </c>
      <c r="P18" s="49">
        <f>ROUND(($N18*(Table!$AE$10/Table!$AE$9)/(Table!$AC$12-Table!$AC$13)),2)</f>
        <v>1.22</v>
      </c>
      <c r="Q18" s="49">
        <f>'Raw Data'!C18</f>
        <v>0</v>
      </c>
      <c r="R18" s="49">
        <f>'Raw Data'!C18/'Raw Data'!I$30*100</f>
        <v>0</v>
      </c>
      <c r="S18" s="54">
        <f t="shared" ref="S18:S135" si="7">D18/MAX($D$18:$D$135)</f>
        <v>0</v>
      </c>
      <c r="T18" s="54">
        <f t="shared" ref="T18:T135" si="8">1-(X18/$X$135)</f>
        <v>1</v>
      </c>
      <c r="U18" s="91">
        <f t="shared" ref="U18:U135" si="9">R18/A18</f>
        <v>0</v>
      </c>
      <c r="V18" s="91">
        <f t="shared" ref="V18:V135" si="10">(U18^1.691)*399</f>
        <v>0</v>
      </c>
      <c r="W18" s="91">
        <f t="shared" ref="W18:W135" si="11">((E18*E18)/8)*S18</f>
        <v>0</v>
      </c>
      <c r="X18" s="145">
        <f t="shared" ref="X18:X135" si="12">W18+X17</f>
        <v>0</v>
      </c>
      <c r="Z18" s="151"/>
      <c r="AA18" s="65"/>
      <c r="AB18" s="65"/>
      <c r="AC18" s="3"/>
      <c r="AN18" s="71">
        <f>E73</f>
        <v>0.40324627153190395</v>
      </c>
      <c r="AO18" s="71">
        <f>$B73</f>
        <v>0.43745801424156927</v>
      </c>
      <c r="AP18" s="71">
        <f t="shared" si="0"/>
        <v>0.34005105468225177</v>
      </c>
      <c r="AR18" s="147">
        <v>0.47874420207019219</v>
      </c>
      <c r="AS18" s="147"/>
      <c r="AT18" s="147"/>
      <c r="AU18" s="110"/>
      <c r="AV18" s="76"/>
    </row>
    <row r="19" spans="1:48" ht="12.4" customHeight="1" x14ac:dyDescent="0.2">
      <c r="A19" s="49">
        <v>1.5977315902709961</v>
      </c>
      <c r="B19" s="111">
        <v>0</v>
      </c>
      <c r="C19" s="111">
        <f t="shared" si="1"/>
        <v>1</v>
      </c>
      <c r="D19" s="15">
        <f t="shared" si="2"/>
        <v>0</v>
      </c>
      <c r="E19" s="5">
        <f>(2*Table!$AC$16*0.147)/A19</f>
        <v>57.365758944315388</v>
      </c>
      <c r="F19" s="5">
        <f t="shared" si="3"/>
        <v>114.73151788863078</v>
      </c>
      <c r="G19" s="49">
        <f>IF((('Raw Data'!C19)/('Raw Data'!C$135)*100)&lt;0,0,('Raw Data'!C19)/('Raw Data'!C$135)*100)</f>
        <v>0</v>
      </c>
      <c r="H19" s="49">
        <f t="shared" si="4"/>
        <v>0</v>
      </c>
      <c r="I19" s="85">
        <f t="shared" si="5"/>
        <v>2.0255373512301444E-2</v>
      </c>
      <c r="J19" s="5">
        <f>'Raw Data'!F19/I19</f>
        <v>0</v>
      </c>
      <c r="K19" s="24">
        <f t="shared" si="6"/>
        <v>2.8303412779640616E-3</v>
      </c>
      <c r="L19" s="49">
        <f>A19*Table!$AC$9/$AC$16</f>
        <v>0.3587505923172199</v>
      </c>
      <c r="M19" s="49">
        <f>A19*Table!$AD$9/$AC$16</f>
        <v>0.12300020308018968</v>
      </c>
      <c r="N19" s="49">
        <f>ABS(A19*Table!$AE$9/$AC$16)</f>
        <v>0.15534356328471347</v>
      </c>
      <c r="O19" s="49">
        <f>($L19*(Table!$AC$10/Table!$AC$9)/(Table!$AC$12-Table!$AC$14))</f>
        <v>0.76952079004122687</v>
      </c>
      <c r="P19" s="49">
        <f>ROUND(($N19*(Table!$AE$10/Table!$AE$9)/(Table!$AC$12-Table!$AC$13)),2)</f>
        <v>1.28</v>
      </c>
      <c r="Q19" s="49">
        <f>'Raw Data'!C19</f>
        <v>0</v>
      </c>
      <c r="R19" s="49">
        <f>'Raw Data'!C19/'Raw Data'!I$30*100</f>
        <v>0</v>
      </c>
      <c r="S19" s="54">
        <f t="shared" si="7"/>
        <v>0</v>
      </c>
      <c r="T19" s="54">
        <f t="shared" si="8"/>
        <v>1</v>
      </c>
      <c r="U19" s="91">
        <f t="shared" si="9"/>
        <v>0</v>
      </c>
      <c r="V19" s="91">
        <f t="shared" si="10"/>
        <v>0</v>
      </c>
      <c r="W19" s="91">
        <f t="shared" si="11"/>
        <v>0</v>
      </c>
      <c r="X19" s="145">
        <f t="shared" si="12"/>
        <v>0</v>
      </c>
      <c r="AN19" s="71">
        <f>E68</f>
        <v>0.63608074583386398</v>
      </c>
      <c r="AO19" s="71">
        <f>$B68</f>
        <v>9.7406959559317483E-2</v>
      </c>
      <c r="AP19" s="71">
        <f t="shared" si="0"/>
        <v>8.7867795243853283E-2</v>
      </c>
      <c r="AR19" s="147">
        <v>0.74938444802644799</v>
      </c>
      <c r="AS19" s="147"/>
      <c r="AT19" s="147"/>
      <c r="AU19" s="110"/>
      <c r="AV19" s="76"/>
    </row>
    <row r="20" spans="1:48" ht="12.4" customHeight="1" x14ac:dyDescent="0.2">
      <c r="A20" s="49">
        <v>1.8203334808349609</v>
      </c>
      <c r="B20" s="111">
        <v>0</v>
      </c>
      <c r="C20" s="111">
        <f t="shared" si="1"/>
        <v>1</v>
      </c>
      <c r="D20" s="15">
        <f t="shared" si="2"/>
        <v>0</v>
      </c>
      <c r="E20" s="5">
        <f>(2*Table!$AC$16*0.147)/A20</f>
        <v>50.350711136270903</v>
      </c>
      <c r="F20" s="5">
        <f t="shared" si="3"/>
        <v>100.70142227254181</v>
      </c>
      <c r="G20" s="49">
        <f>IF((('Raw Data'!C20)/('Raw Data'!C$135)*100)&lt;0,0,('Raw Data'!C20)/('Raw Data'!C$135)*100)</f>
        <v>0</v>
      </c>
      <c r="H20" s="49">
        <f t="shared" si="4"/>
        <v>0</v>
      </c>
      <c r="I20" s="85">
        <f t="shared" si="5"/>
        <v>5.6647134879291627E-2</v>
      </c>
      <c r="J20" s="5">
        <f>'Raw Data'!F20/I20</f>
        <v>0</v>
      </c>
      <c r="K20" s="24">
        <f t="shared" si="6"/>
        <v>3.2246749215200268E-3</v>
      </c>
      <c r="L20" s="49">
        <f>A20*Table!$AC$9/$AC$16</f>
        <v>0.40873305531478155</v>
      </c>
      <c r="M20" s="49">
        <f>A20*Table!$AD$9/$AC$16</f>
        <v>0.14013704753649653</v>
      </c>
      <c r="N20" s="49">
        <f>ABS(A20*Table!$AE$9/$AC$16)</f>
        <v>0.17698660463451549</v>
      </c>
      <c r="O20" s="49">
        <f>($L20*(Table!$AC$10/Table!$AC$9)/(Table!$AC$12-Table!$AC$14))</f>
        <v>0.87673328038348686</v>
      </c>
      <c r="P20" s="49">
        <f>ROUND(($N20*(Table!$AE$10/Table!$AE$9)/(Table!$AC$12-Table!$AC$13)),2)</f>
        <v>1.45</v>
      </c>
      <c r="Q20" s="49">
        <f>'Raw Data'!C20</f>
        <v>0</v>
      </c>
      <c r="R20" s="49">
        <f>'Raw Data'!C20/'Raw Data'!I$30*100</f>
        <v>0</v>
      </c>
      <c r="S20" s="54">
        <f t="shared" si="7"/>
        <v>0</v>
      </c>
      <c r="T20" s="54">
        <f t="shared" si="8"/>
        <v>1</v>
      </c>
      <c r="U20" s="91">
        <f t="shared" si="9"/>
        <v>0</v>
      </c>
      <c r="V20" s="91">
        <f t="shared" si="10"/>
        <v>0</v>
      </c>
      <c r="W20" s="91">
        <f t="shared" si="11"/>
        <v>0</v>
      </c>
      <c r="X20" s="145">
        <f t="shared" si="12"/>
        <v>0</v>
      </c>
      <c r="AN20" s="105">
        <f>E64</f>
        <v>0.91076186700567585</v>
      </c>
      <c r="AO20" s="71">
        <f>$B64</f>
        <v>9.5391643154641957E-3</v>
      </c>
      <c r="AP20" s="71">
        <f t="shared" si="0"/>
        <v>9.5391643154641957E-3</v>
      </c>
      <c r="AR20" s="27">
        <v>1.0742552826940897</v>
      </c>
      <c r="AS20" s="147"/>
      <c r="AT20" s="147"/>
      <c r="AU20" s="110"/>
      <c r="AV20" s="76"/>
    </row>
    <row r="21" spans="1:48" ht="12.4" customHeight="1" x14ac:dyDescent="0.2">
      <c r="A21" s="49">
        <v>2.0241596698760986</v>
      </c>
      <c r="B21" s="111">
        <v>0</v>
      </c>
      <c r="C21" s="111">
        <f t="shared" si="1"/>
        <v>1</v>
      </c>
      <c r="D21" s="15">
        <f t="shared" si="2"/>
        <v>0</v>
      </c>
      <c r="E21" s="5">
        <f>(2*Table!$AC$16*0.147)/A21</f>
        <v>45.280560930657195</v>
      </c>
      <c r="F21" s="5">
        <f t="shared" si="3"/>
        <v>90.56112186131439</v>
      </c>
      <c r="G21" s="49">
        <f>IF((('Raw Data'!C21)/('Raw Data'!C$135)*100)&lt;0,0,('Raw Data'!C21)/('Raw Data'!C$135)*100)</f>
        <v>0</v>
      </c>
      <c r="H21" s="49">
        <f t="shared" si="4"/>
        <v>0</v>
      </c>
      <c r="I21" s="85">
        <f t="shared" si="5"/>
        <v>4.6093810553809789E-2</v>
      </c>
      <c r="J21" s="5">
        <f>'Raw Data'!F21/I21</f>
        <v>0</v>
      </c>
      <c r="K21" s="24">
        <f t="shared" si="6"/>
        <v>3.5857478826394778E-3</v>
      </c>
      <c r="L21" s="49">
        <f>A21*Table!$AC$9/$AC$16</f>
        <v>0.45449966999119734</v>
      </c>
      <c r="M21" s="49">
        <f>A21*Table!$AD$9/$AC$16</f>
        <v>0.15582845828269623</v>
      </c>
      <c r="N21" s="49">
        <f>ABS(A21*Table!$AE$9/$AC$16)</f>
        <v>0.19680413011201039</v>
      </c>
      <c r="O21" s="49">
        <f>($L21*(Table!$AC$10/Table!$AC$9)/(Table!$AC$12-Table!$AC$14))</f>
        <v>0.97490276703388556</v>
      </c>
      <c r="P21" s="49">
        <f>ROUND(($N21*(Table!$AE$10/Table!$AE$9)/(Table!$AC$12-Table!$AC$13)),2)</f>
        <v>1.62</v>
      </c>
      <c r="Q21" s="49">
        <f>'Raw Data'!C21</f>
        <v>0</v>
      </c>
      <c r="R21" s="49">
        <f>'Raw Data'!C21/'Raw Data'!I$30*100</f>
        <v>0</v>
      </c>
      <c r="S21" s="54">
        <f t="shared" si="7"/>
        <v>0</v>
      </c>
      <c r="T21" s="54">
        <f t="shared" si="8"/>
        <v>1</v>
      </c>
      <c r="U21" s="91">
        <f t="shared" si="9"/>
        <v>0</v>
      </c>
      <c r="V21" s="91">
        <f t="shared" si="10"/>
        <v>0</v>
      </c>
      <c r="W21" s="91">
        <f t="shared" si="11"/>
        <v>0</v>
      </c>
      <c r="X21" s="145">
        <f t="shared" si="12"/>
        <v>0</v>
      </c>
      <c r="AN21" s="105">
        <f>$E55</f>
        <v>2.0725738648518721</v>
      </c>
      <c r="AO21" s="71">
        <f>$B55</f>
        <v>0</v>
      </c>
      <c r="AP21" s="71">
        <f t="shared" si="0"/>
        <v>0</v>
      </c>
      <c r="AR21" s="27">
        <v>2.3818202604521379</v>
      </c>
      <c r="AS21" s="147"/>
      <c r="AT21" s="147"/>
      <c r="AU21" s="110"/>
      <c r="AV21" s="76"/>
    </row>
    <row r="22" spans="1:48" ht="12.4" customHeight="1" x14ac:dyDescent="0.2">
      <c r="A22" s="49">
        <v>2.1758403778076172</v>
      </c>
      <c r="B22" s="111">
        <v>0</v>
      </c>
      <c r="C22" s="111">
        <f t="shared" si="1"/>
        <v>1</v>
      </c>
      <c r="D22" s="15">
        <f t="shared" si="2"/>
        <v>0</v>
      </c>
      <c r="E22" s="5">
        <f>(2*Table!$AC$16*0.147)/A22</f>
        <v>42.123993193634711</v>
      </c>
      <c r="F22" s="5">
        <f t="shared" si="3"/>
        <v>84.247986387269421</v>
      </c>
      <c r="G22" s="49">
        <f>IF((('Raw Data'!C22)/('Raw Data'!C$135)*100)&lt;0,0,('Raw Data'!C22)/('Raw Data'!C$135)*100)</f>
        <v>0</v>
      </c>
      <c r="H22" s="49">
        <f t="shared" si="4"/>
        <v>0</v>
      </c>
      <c r="I22" s="85">
        <f t="shared" si="5"/>
        <v>3.1382264283541073E-2</v>
      </c>
      <c r="J22" s="5">
        <f>'Raw Data'!F22/I22</f>
        <v>0</v>
      </c>
      <c r="K22" s="24">
        <f t="shared" si="6"/>
        <v>3.8544464371047943E-3</v>
      </c>
      <c r="L22" s="49">
        <f>A22*Table!$AC$9/$AC$16</f>
        <v>0.48855767081241036</v>
      </c>
      <c r="M22" s="49">
        <f>A22*Table!$AD$9/$AC$16</f>
        <v>0.16750548713568356</v>
      </c>
      <c r="N22" s="49">
        <f>ABS(A22*Table!$AE$9/$AC$16)</f>
        <v>0.21155167706865124</v>
      </c>
      <c r="O22" s="49">
        <f>($L22*(Table!$AC$10/Table!$AC$9)/(Table!$AC$12-Table!$AC$14))</f>
        <v>1.0479572518498721</v>
      </c>
      <c r="P22" s="49">
        <f>ROUND(($N22*(Table!$AE$10/Table!$AE$9)/(Table!$AC$12-Table!$AC$13)),2)</f>
        <v>1.74</v>
      </c>
      <c r="Q22" s="49">
        <f>'Raw Data'!C22</f>
        <v>0</v>
      </c>
      <c r="R22" s="49">
        <f>'Raw Data'!C22/'Raw Data'!I$30*100</f>
        <v>0</v>
      </c>
      <c r="S22" s="54">
        <f t="shared" si="7"/>
        <v>0</v>
      </c>
      <c r="T22" s="54">
        <f t="shared" si="8"/>
        <v>1</v>
      </c>
      <c r="U22" s="91">
        <f t="shared" si="9"/>
        <v>0</v>
      </c>
      <c r="V22" s="91">
        <f t="shared" si="10"/>
        <v>0</v>
      </c>
      <c r="W22" s="91">
        <f t="shared" si="11"/>
        <v>0</v>
      </c>
      <c r="X22" s="145">
        <f t="shared" si="12"/>
        <v>0</v>
      </c>
      <c r="AN22" s="105">
        <f>$E47</f>
        <v>4.5246475015936829</v>
      </c>
      <c r="AO22" s="71">
        <f>$B47</f>
        <v>0</v>
      </c>
      <c r="AP22" s="71">
        <f t="shared" si="0"/>
        <v>0</v>
      </c>
      <c r="AR22" s="27">
        <v>4.9092259390712378</v>
      </c>
      <c r="AS22" s="147"/>
      <c r="AT22" s="147"/>
      <c r="AU22" s="110"/>
      <c r="AV22" s="76"/>
    </row>
    <row r="23" spans="1:48" ht="12.4" customHeight="1" x14ac:dyDescent="0.2">
      <c r="A23" s="49">
        <v>2.3755669593811035</v>
      </c>
      <c r="B23" s="111">
        <v>0</v>
      </c>
      <c r="C23" s="111">
        <f t="shared" si="1"/>
        <v>1</v>
      </c>
      <c r="D23" s="15">
        <f t="shared" si="2"/>
        <v>0</v>
      </c>
      <c r="E23" s="5">
        <f>(2*Table!$AC$16*0.147)/A23</f>
        <v>38.582404466966551</v>
      </c>
      <c r="F23" s="5">
        <f t="shared" si="3"/>
        <v>77.164808933933102</v>
      </c>
      <c r="G23" s="49">
        <f>IF((('Raw Data'!C23)/('Raw Data'!C$135)*100)&lt;0,0,('Raw Data'!C23)/('Raw Data'!C$135)*100)</f>
        <v>0</v>
      </c>
      <c r="H23" s="49">
        <f t="shared" si="4"/>
        <v>0</v>
      </c>
      <c r="I23" s="85">
        <f t="shared" si="5"/>
        <v>3.8140244409691437E-2</v>
      </c>
      <c r="J23" s="5">
        <f>'Raw Data'!F23/I23</f>
        <v>0</v>
      </c>
      <c r="K23" s="24">
        <f t="shared" si="6"/>
        <v>4.208257046831935E-3</v>
      </c>
      <c r="L23" s="49">
        <f>A23*Table!$AC$9/$AC$16</f>
        <v>0.5334037700429004</v>
      </c>
      <c r="M23" s="49">
        <f>A23*Table!$AD$9/$AC$16</f>
        <v>0.18288129258613728</v>
      </c>
      <c r="N23" s="49">
        <f>ABS(A23*Table!$AE$9/$AC$16)</f>
        <v>0.23097060766577238</v>
      </c>
      <c r="O23" s="49">
        <f>($L23*(Table!$AC$10/Table!$AC$9)/(Table!$AC$12-Table!$AC$14))</f>
        <v>1.1441522308942524</v>
      </c>
      <c r="P23" s="49">
        <f>ROUND(($N23*(Table!$AE$10/Table!$AE$9)/(Table!$AC$12-Table!$AC$13)),2)</f>
        <v>1.9</v>
      </c>
      <c r="Q23" s="49">
        <f>'Raw Data'!C23</f>
        <v>0</v>
      </c>
      <c r="R23" s="49">
        <f>'Raw Data'!C23/'Raw Data'!I$30*100</f>
        <v>0</v>
      </c>
      <c r="S23" s="54">
        <f t="shared" si="7"/>
        <v>0</v>
      </c>
      <c r="T23" s="54">
        <f t="shared" si="8"/>
        <v>1</v>
      </c>
      <c r="U23" s="91">
        <f t="shared" si="9"/>
        <v>0</v>
      </c>
      <c r="V23" s="91">
        <f t="shared" si="10"/>
        <v>0</v>
      </c>
      <c r="W23" s="91">
        <f t="shared" si="11"/>
        <v>0</v>
      </c>
      <c r="X23" s="145">
        <f t="shared" si="12"/>
        <v>0</v>
      </c>
      <c r="AN23" s="105">
        <f>$E42</f>
        <v>7.1147225400812015</v>
      </c>
      <c r="AO23" s="71">
        <f>$B42</f>
        <v>0</v>
      </c>
      <c r="AP23" s="71">
        <f t="shared" si="0"/>
        <v>0</v>
      </c>
      <c r="AR23" s="27">
        <v>7.6545393934362336</v>
      </c>
      <c r="AS23" s="147"/>
      <c r="AT23" s="147"/>
      <c r="AU23" s="110"/>
      <c r="AV23" s="76"/>
    </row>
    <row r="24" spans="1:48" ht="12.4" customHeight="1" x14ac:dyDescent="0.2">
      <c r="A24" s="49">
        <v>2.5893959999084473</v>
      </c>
      <c r="B24" s="111">
        <v>0</v>
      </c>
      <c r="C24" s="111">
        <f t="shared" si="1"/>
        <v>1</v>
      </c>
      <c r="D24" s="15">
        <f t="shared" si="2"/>
        <v>0</v>
      </c>
      <c r="E24" s="5">
        <f>(2*Table!$AC$16*0.147)/A24</f>
        <v>35.396318395658398</v>
      </c>
      <c r="F24" s="5">
        <f t="shared" si="3"/>
        <v>70.792636791316795</v>
      </c>
      <c r="G24" s="49">
        <f>IF((('Raw Data'!C24)/('Raw Data'!C$135)*100)&lt;0,0,('Raw Data'!C24)/('Raw Data'!C$135)*100)</f>
        <v>0</v>
      </c>
      <c r="H24" s="49">
        <f t="shared" si="4"/>
        <v>0</v>
      </c>
      <c r="I24" s="85">
        <f t="shared" si="5"/>
        <v>3.7431196515474774E-2</v>
      </c>
      <c r="J24" s="5">
        <f>'Raw Data'!F24/I24</f>
        <v>0</v>
      </c>
      <c r="K24" s="24">
        <f t="shared" si="6"/>
        <v>4.5870498074666163E-3</v>
      </c>
      <c r="L24" s="49">
        <f>A24*Table!$AC$9/$AC$16</f>
        <v>0.58141639958025348</v>
      </c>
      <c r="M24" s="49">
        <f>A24*Table!$AD$9/$AC$16</f>
        <v>0.19934276557037264</v>
      </c>
      <c r="N24" s="49">
        <f>ABS(A24*Table!$AE$9/$AC$16)</f>
        <v>0.25176068610669178</v>
      </c>
      <c r="O24" s="49">
        <f>($L24*(Table!$AC$10/Table!$AC$9)/(Table!$AC$12-Table!$AC$14))</f>
        <v>1.2471394242390681</v>
      </c>
      <c r="P24" s="49">
        <f>ROUND(($N24*(Table!$AE$10/Table!$AE$9)/(Table!$AC$12-Table!$AC$13)),2)</f>
        <v>2.0699999999999998</v>
      </c>
      <c r="Q24" s="49">
        <f>'Raw Data'!C24</f>
        <v>0</v>
      </c>
      <c r="R24" s="49">
        <f>'Raw Data'!C24/'Raw Data'!I$30*100</f>
        <v>0</v>
      </c>
      <c r="S24" s="54">
        <f t="shared" si="7"/>
        <v>0</v>
      </c>
      <c r="T24" s="54">
        <f t="shared" si="8"/>
        <v>1</v>
      </c>
      <c r="U24" s="91">
        <f t="shared" si="9"/>
        <v>0</v>
      </c>
      <c r="V24" s="91">
        <f t="shared" si="10"/>
        <v>0</v>
      </c>
      <c r="W24" s="91">
        <f t="shared" si="11"/>
        <v>0</v>
      </c>
      <c r="X24" s="145">
        <f t="shared" si="12"/>
        <v>0</v>
      </c>
      <c r="AN24" s="77">
        <f>$E39</f>
        <v>9.2786064080497574</v>
      </c>
      <c r="AO24" s="71">
        <f>$B39</f>
        <v>0</v>
      </c>
      <c r="AP24" s="71">
        <f t="shared" si="0"/>
        <v>0</v>
      </c>
      <c r="AR24" s="156">
        <v>10.01194107647434</v>
      </c>
      <c r="AS24" s="147"/>
      <c r="AT24" s="147"/>
      <c r="AU24" s="110"/>
      <c r="AV24" s="76"/>
    </row>
    <row r="25" spans="1:48" ht="12.4" customHeight="1" x14ac:dyDescent="0.2">
      <c r="A25" s="49">
        <v>2.8291335105895996</v>
      </c>
      <c r="B25" s="111">
        <v>0</v>
      </c>
      <c r="C25" s="111">
        <f t="shared" si="1"/>
        <v>1</v>
      </c>
      <c r="D25" s="15">
        <f t="shared" si="2"/>
        <v>0</v>
      </c>
      <c r="E25" s="5">
        <f>(2*Table!$AC$16*0.147)/A25</f>
        <v>32.396875199467857</v>
      </c>
      <c r="F25" s="5">
        <f t="shared" si="3"/>
        <v>64.793750398935714</v>
      </c>
      <c r="G25" s="49">
        <f>IF((('Raw Data'!C25)/('Raw Data'!C$135)*100)&lt;0,0,('Raw Data'!C25)/('Raw Data'!C$135)*100)</f>
        <v>0</v>
      </c>
      <c r="H25" s="49">
        <f t="shared" si="4"/>
        <v>0</v>
      </c>
      <c r="I25" s="85">
        <f t="shared" si="5"/>
        <v>3.8454970108058761E-2</v>
      </c>
      <c r="J25" s="5">
        <f>'Raw Data'!F25/I25</f>
        <v>0</v>
      </c>
      <c r="K25" s="24">
        <f t="shared" si="6"/>
        <v>5.0117387705496622E-3</v>
      </c>
      <c r="L25" s="49">
        <f>A25*Table!$AC$9/$AC$16</f>
        <v>0.63524645118668854</v>
      </c>
      <c r="M25" s="49">
        <f>A25*Table!$AD$9/$AC$16</f>
        <v>0.21779878326400751</v>
      </c>
      <c r="N25" s="49">
        <f>ABS(A25*Table!$AE$9/$AC$16)</f>
        <v>0.27506978219579181</v>
      </c>
      <c r="O25" s="49">
        <f>($L25*(Table!$AC$10/Table!$AC$9)/(Table!$AC$12-Table!$AC$14))</f>
        <v>1.3626050004004475</v>
      </c>
      <c r="P25" s="49">
        <f>ROUND(($N25*(Table!$AE$10/Table!$AE$9)/(Table!$AC$12-Table!$AC$13)),2)</f>
        <v>2.2599999999999998</v>
      </c>
      <c r="Q25" s="49">
        <f>'Raw Data'!C25</f>
        <v>0</v>
      </c>
      <c r="R25" s="49">
        <f>'Raw Data'!C25/'Raw Data'!I$30*100</f>
        <v>0</v>
      </c>
      <c r="S25" s="54">
        <f t="shared" si="7"/>
        <v>0</v>
      </c>
      <c r="T25" s="54">
        <f t="shared" si="8"/>
        <v>1</v>
      </c>
      <c r="U25" s="91">
        <f t="shared" si="9"/>
        <v>0</v>
      </c>
      <c r="V25" s="91">
        <f t="shared" si="10"/>
        <v>0</v>
      </c>
      <c r="W25" s="91">
        <f t="shared" si="11"/>
        <v>0</v>
      </c>
      <c r="X25" s="145">
        <f t="shared" si="12"/>
        <v>0</v>
      </c>
      <c r="AN25" s="77">
        <f>$E29</f>
        <v>22.658177614329009</v>
      </c>
      <c r="AO25" s="71">
        <f>$B29</f>
        <v>0</v>
      </c>
      <c r="AP25" s="71">
        <f t="shared" si="0"/>
        <v>0</v>
      </c>
      <c r="AR25" s="156">
        <v>23.954008145687514</v>
      </c>
      <c r="AS25" s="147"/>
      <c r="AT25" s="147"/>
      <c r="AU25" s="110"/>
      <c r="AV25" s="76"/>
    </row>
    <row r="26" spans="1:48" ht="12.4" customHeight="1" x14ac:dyDescent="0.2">
      <c r="A26" s="49">
        <v>3.0863349437713623</v>
      </c>
      <c r="B26" s="111">
        <v>0</v>
      </c>
      <c r="C26" s="111">
        <f t="shared" si="1"/>
        <v>1</v>
      </c>
      <c r="D26" s="15">
        <f t="shared" si="2"/>
        <v>0</v>
      </c>
      <c r="E26" s="5">
        <f>(2*Table!$AC$16*0.147)/A26</f>
        <v>29.697063648317201</v>
      </c>
      <c r="F26" s="5">
        <f t="shared" si="3"/>
        <v>59.394127296634402</v>
      </c>
      <c r="G26" s="49">
        <f>IF((('Raw Data'!C26)/('Raw Data'!C$135)*100)&lt;0,0,('Raw Data'!C26)/('Raw Data'!C$135)*100)</f>
        <v>0</v>
      </c>
      <c r="H26" s="49">
        <f t="shared" si="4"/>
        <v>0</v>
      </c>
      <c r="I26" s="85">
        <f t="shared" si="5"/>
        <v>3.7789613113601961E-2</v>
      </c>
      <c r="J26" s="5">
        <f>'Raw Data'!F26/I26</f>
        <v>0</v>
      </c>
      <c r="K26" s="24">
        <f t="shared" si="6"/>
        <v>5.467364632564687E-3</v>
      </c>
      <c r="L26" s="49">
        <f>A26*Table!$AC$9/$AC$16</f>
        <v>0.69299780758513396</v>
      </c>
      <c r="M26" s="49">
        <f>A26*Table!$AD$9/$AC$16</f>
        <v>0.23759924831490306</v>
      </c>
      <c r="N26" s="49">
        <f>ABS(A26*Table!$AE$9/$AC$16)</f>
        <v>0.30007685306782322</v>
      </c>
      <c r="O26" s="49">
        <f>($L26*(Table!$AC$10/Table!$AC$9)/(Table!$AC$12-Table!$AC$14))</f>
        <v>1.4864817837518964</v>
      </c>
      <c r="P26" s="49">
        <f>ROUND(($N26*(Table!$AE$10/Table!$AE$9)/(Table!$AC$12-Table!$AC$13)),2)</f>
        <v>2.46</v>
      </c>
      <c r="Q26" s="49">
        <f>'Raw Data'!C26</f>
        <v>0</v>
      </c>
      <c r="R26" s="49">
        <f>'Raw Data'!C26/'Raw Data'!I$30*100</f>
        <v>0</v>
      </c>
      <c r="S26" s="54">
        <f t="shared" si="7"/>
        <v>0</v>
      </c>
      <c r="T26" s="54">
        <f t="shared" si="8"/>
        <v>1</v>
      </c>
      <c r="U26" s="91">
        <f t="shared" si="9"/>
        <v>0</v>
      </c>
      <c r="V26" s="91">
        <f t="shared" si="10"/>
        <v>0</v>
      </c>
      <c r="W26" s="91">
        <f t="shared" si="11"/>
        <v>0</v>
      </c>
      <c r="X26" s="145">
        <f t="shared" si="12"/>
        <v>0</v>
      </c>
      <c r="AN26" s="77">
        <f>$E21</f>
        <v>45.280560930657195</v>
      </c>
      <c r="AO26" s="71">
        <f>$B22</f>
        <v>0</v>
      </c>
      <c r="AP26" s="71">
        <f t="shared" si="0"/>
        <v>0</v>
      </c>
      <c r="AR26" s="156">
        <v>51.76790385987443</v>
      </c>
      <c r="AS26" s="147"/>
      <c r="AT26" s="147"/>
      <c r="AU26" s="110"/>
      <c r="AV26" s="76"/>
    </row>
    <row r="27" spans="1:48" ht="12.4" customHeight="1" x14ac:dyDescent="0.2">
      <c r="A27" s="49">
        <v>3.3701012134552002</v>
      </c>
      <c r="B27" s="111">
        <v>0</v>
      </c>
      <c r="C27" s="111">
        <f t="shared" si="1"/>
        <v>1</v>
      </c>
      <c r="D27" s="15">
        <f t="shared" si="2"/>
        <v>0</v>
      </c>
      <c r="E27" s="5">
        <f>(2*Table!$AC$16*0.147)/A27</f>
        <v>27.196537866361037</v>
      </c>
      <c r="F27" s="5">
        <f t="shared" si="3"/>
        <v>54.393075732722075</v>
      </c>
      <c r="G27" s="49">
        <f>IF((('Raw Data'!C27)/('Raw Data'!C$135)*100)&lt;0,0,('Raw Data'!C27)/('Raw Data'!C$135)*100)</f>
        <v>0</v>
      </c>
      <c r="H27" s="49">
        <f t="shared" si="4"/>
        <v>0</v>
      </c>
      <c r="I27" s="85">
        <f t="shared" si="5"/>
        <v>3.8199888140043603E-2</v>
      </c>
      <c r="J27" s="5">
        <f>'Raw Data'!F27/I27</f>
        <v>0</v>
      </c>
      <c r="K27" s="24">
        <f t="shared" si="6"/>
        <v>5.9700494334853612E-3</v>
      </c>
      <c r="L27" s="49">
        <f>A27*Table!$AC$9/$AC$16</f>
        <v>0.75671396488503306</v>
      </c>
      <c r="M27" s="49">
        <f>A27*Table!$AD$9/$AC$16</f>
        <v>0.25944478796058279</v>
      </c>
      <c r="N27" s="49">
        <f>ABS(A27*Table!$AE$9/$AC$16)</f>
        <v>0.32766675849444216</v>
      </c>
      <c r="O27" s="49">
        <f>($L27*(Table!$AC$10/Table!$AC$9)/(Table!$AC$12-Table!$AC$14))</f>
        <v>1.623153077831474</v>
      </c>
      <c r="P27" s="49">
        <f>ROUND(($N27*(Table!$AE$10/Table!$AE$9)/(Table!$AC$12-Table!$AC$13)),2)</f>
        <v>2.69</v>
      </c>
      <c r="Q27" s="49">
        <f>'Raw Data'!C27</f>
        <v>0</v>
      </c>
      <c r="R27" s="49">
        <f>'Raw Data'!C27/'Raw Data'!I$30*100</f>
        <v>0</v>
      </c>
      <c r="S27" s="54">
        <f t="shared" si="7"/>
        <v>0</v>
      </c>
      <c r="T27" s="54">
        <f t="shared" si="8"/>
        <v>1</v>
      </c>
      <c r="U27" s="91">
        <f t="shared" si="9"/>
        <v>0</v>
      </c>
      <c r="V27" s="91">
        <f t="shared" si="10"/>
        <v>0</v>
      </c>
      <c r="W27" s="91">
        <f t="shared" si="11"/>
        <v>0</v>
      </c>
      <c r="X27" s="145">
        <f t="shared" si="12"/>
        <v>0</v>
      </c>
      <c r="AN27" s="77">
        <f>$E18</f>
        <v>60.104656176542989</v>
      </c>
      <c r="AO27" s="71">
        <f>$B18</f>
        <v>0</v>
      </c>
      <c r="AP27" s="71">
        <f t="shared" si="0"/>
        <v>0</v>
      </c>
      <c r="AR27" s="156">
        <v>72.33793188366559</v>
      </c>
      <c r="AS27" s="147"/>
      <c r="AT27" s="147"/>
      <c r="AU27" s="110"/>
      <c r="AV27" s="76"/>
    </row>
    <row r="28" spans="1:48" ht="12.4" customHeight="1" x14ac:dyDescent="0.2">
      <c r="A28" s="49">
        <v>3.6953539848327637</v>
      </c>
      <c r="B28" s="111">
        <v>0</v>
      </c>
      <c r="C28" s="111">
        <f t="shared" si="1"/>
        <v>1</v>
      </c>
      <c r="D28" s="15">
        <f t="shared" si="2"/>
        <v>0</v>
      </c>
      <c r="E28" s="5">
        <f>(2*Table!$AC$16*0.147)/A28</f>
        <v>24.802789026814047</v>
      </c>
      <c r="F28" s="5">
        <f t="shared" si="3"/>
        <v>49.605578053628093</v>
      </c>
      <c r="G28" s="49">
        <f>IF((('Raw Data'!C28)/('Raw Data'!C$135)*100)&lt;0,0,('Raw Data'!C28)/('Raw Data'!C$135)*100)</f>
        <v>0</v>
      </c>
      <c r="H28" s="49">
        <f t="shared" si="4"/>
        <v>0</v>
      </c>
      <c r="I28" s="85">
        <f t="shared" si="5"/>
        <v>4.0013102468895667E-2</v>
      </c>
      <c r="J28" s="5">
        <f>'Raw Data'!F28/I28</f>
        <v>0</v>
      </c>
      <c r="K28" s="24">
        <f t="shared" si="6"/>
        <v>6.5462265274401632E-3</v>
      </c>
      <c r="L28" s="49">
        <f>A28*Table!$AC$9/$AC$16</f>
        <v>0.82974539588072804</v>
      </c>
      <c r="M28" s="49">
        <f>A28*Table!$AD$9/$AC$16</f>
        <v>0.28448413573053533</v>
      </c>
      <c r="N28" s="49">
        <f>ABS(A28*Table!$AE$9/$AC$16)</f>
        <v>0.35929029575294325</v>
      </c>
      <c r="O28" s="49">
        <f>($L28*(Table!$AC$10/Table!$AC$9)/(Table!$AC$12-Table!$AC$14))</f>
        <v>1.7798056539698157</v>
      </c>
      <c r="P28" s="49">
        <f>ROUND(($N28*(Table!$AE$10/Table!$AE$9)/(Table!$AC$12-Table!$AC$13)),2)</f>
        <v>2.95</v>
      </c>
      <c r="Q28" s="49">
        <f>'Raw Data'!C28</f>
        <v>0</v>
      </c>
      <c r="R28" s="49">
        <f>'Raw Data'!C28/'Raw Data'!I$30*100</f>
        <v>0</v>
      </c>
      <c r="S28" s="54">
        <f t="shared" si="7"/>
        <v>0</v>
      </c>
      <c r="T28" s="54">
        <f t="shared" si="8"/>
        <v>1</v>
      </c>
      <c r="U28" s="91">
        <f t="shared" si="9"/>
        <v>0</v>
      </c>
      <c r="V28" s="91">
        <f t="shared" si="10"/>
        <v>0</v>
      </c>
      <c r="W28" s="91">
        <f t="shared" si="11"/>
        <v>0</v>
      </c>
      <c r="X28" s="145">
        <f t="shared" si="12"/>
        <v>0</v>
      </c>
      <c r="AN28" s="67"/>
      <c r="AO28" s="71"/>
      <c r="AP28" s="71"/>
      <c r="AS28" s="147"/>
      <c r="AT28" s="147"/>
      <c r="AU28" s="76"/>
      <c r="AV28" s="76"/>
    </row>
    <row r="29" spans="1:48" ht="12.4" customHeight="1" x14ac:dyDescent="0.2">
      <c r="A29" s="49">
        <v>4.0451216697692871</v>
      </c>
      <c r="B29" s="111">
        <v>0</v>
      </c>
      <c r="C29" s="111">
        <f t="shared" si="1"/>
        <v>1</v>
      </c>
      <c r="D29" s="15">
        <f t="shared" si="2"/>
        <v>0</v>
      </c>
      <c r="E29" s="5">
        <f>(2*Table!$AC$16*0.147)/A29</f>
        <v>22.658177614329009</v>
      </c>
      <c r="F29" s="5">
        <f t="shared" si="3"/>
        <v>45.316355228658018</v>
      </c>
      <c r="G29" s="49">
        <f>IF((('Raw Data'!C29)/('Raw Data'!C$135)*100)&lt;0,0,('Raw Data'!C29)/('Raw Data'!C$135)*100)</f>
        <v>0</v>
      </c>
      <c r="H29" s="49">
        <f t="shared" si="4"/>
        <v>0</v>
      </c>
      <c r="I29" s="85">
        <f t="shared" si="5"/>
        <v>3.9275542318676804E-2</v>
      </c>
      <c r="J29" s="5">
        <f>'Raw Data'!F29/I29</f>
        <v>0</v>
      </c>
      <c r="K29" s="24">
        <f t="shared" si="6"/>
        <v>7.1658311734282042E-3</v>
      </c>
      <c r="L29" s="49">
        <f>A29*Table!$AC$9/$AC$16</f>
        <v>0.90828134328796284</v>
      </c>
      <c r="M29" s="49">
        <f>A29*Table!$AD$9/$AC$16</f>
        <v>0.31141074627015869</v>
      </c>
      <c r="N29" s="49">
        <f>ABS(A29*Table!$AE$9/$AC$16)</f>
        <v>0.3932973585354152</v>
      </c>
      <c r="O29" s="49">
        <f>($L29*(Table!$AC$10/Table!$AC$9)/(Table!$AC$12-Table!$AC$14))</f>
        <v>1.9482654296181103</v>
      </c>
      <c r="P29" s="49">
        <f>ROUND(($N29*(Table!$AE$10/Table!$AE$9)/(Table!$AC$12-Table!$AC$13)),2)</f>
        <v>3.23</v>
      </c>
      <c r="Q29" s="49">
        <f>'Raw Data'!C29</f>
        <v>0</v>
      </c>
      <c r="R29" s="49">
        <f>'Raw Data'!C29/'Raw Data'!I$30*100</f>
        <v>0</v>
      </c>
      <c r="S29" s="54">
        <f t="shared" si="7"/>
        <v>0</v>
      </c>
      <c r="T29" s="54">
        <f t="shared" si="8"/>
        <v>1</v>
      </c>
      <c r="U29" s="91">
        <f t="shared" si="9"/>
        <v>0</v>
      </c>
      <c r="V29" s="91">
        <f t="shared" si="10"/>
        <v>0</v>
      </c>
      <c r="W29" s="91">
        <f t="shared" si="11"/>
        <v>0</v>
      </c>
      <c r="X29" s="145">
        <f t="shared" si="12"/>
        <v>0</v>
      </c>
      <c r="AS29" s="147"/>
      <c r="AT29" s="147"/>
    </row>
    <row r="30" spans="1:48" ht="12.4" customHeight="1" x14ac:dyDescent="0.2">
      <c r="A30" s="49">
        <v>4.4270291328430176</v>
      </c>
      <c r="B30" s="111">
        <v>0</v>
      </c>
      <c r="C30" s="111">
        <f t="shared" si="1"/>
        <v>1</v>
      </c>
      <c r="D30" s="15">
        <f t="shared" si="2"/>
        <v>0</v>
      </c>
      <c r="E30" s="5">
        <f>(2*Table!$AC$16*0.147)/A30</f>
        <v>20.703519790560577</v>
      </c>
      <c r="F30" s="5">
        <f t="shared" si="3"/>
        <v>41.407039581121154</v>
      </c>
      <c r="G30" s="49">
        <f>IF((('Raw Data'!C30)/('Raw Data'!C$135)*100)&lt;0,0,('Raw Data'!C30)/('Raw Data'!C$135)*100)</f>
        <v>0</v>
      </c>
      <c r="H30" s="49">
        <f t="shared" si="4"/>
        <v>0</v>
      </c>
      <c r="I30" s="85">
        <f t="shared" si="5"/>
        <v>3.9180791020833938E-2</v>
      </c>
      <c r="J30" s="5">
        <f>'Raw Data'!F30/I30</f>
        <v>0</v>
      </c>
      <c r="K30" s="24">
        <f t="shared" si="6"/>
        <v>7.8423706270399178E-3</v>
      </c>
      <c r="L30" s="49">
        <f>A30*Table!$AC$9/$AC$16</f>
        <v>0.9940338748285259</v>
      </c>
      <c r="M30" s="49">
        <f>A30*Table!$AD$9/$AC$16</f>
        <v>0.34081161422692313</v>
      </c>
      <c r="N30" s="49">
        <f>ABS(A30*Table!$AE$9/$AC$16)</f>
        <v>0.43042929391189216</v>
      </c>
      <c r="O30" s="49">
        <f>($L30*(Table!$AC$10/Table!$AC$9)/(Table!$AC$12-Table!$AC$14))</f>
        <v>2.1322047937119821</v>
      </c>
      <c r="P30" s="49">
        <f>ROUND(($N30*(Table!$AE$10/Table!$AE$9)/(Table!$AC$12-Table!$AC$13)),2)</f>
        <v>3.53</v>
      </c>
      <c r="Q30" s="49">
        <f>'Raw Data'!C30</f>
        <v>0</v>
      </c>
      <c r="R30" s="49">
        <f>'Raw Data'!C30/'Raw Data'!I$30*100</f>
        <v>0</v>
      </c>
      <c r="S30" s="54">
        <f t="shared" si="7"/>
        <v>0</v>
      </c>
      <c r="T30" s="54">
        <f t="shared" si="8"/>
        <v>1</v>
      </c>
      <c r="U30" s="91">
        <f t="shared" si="9"/>
        <v>0</v>
      </c>
      <c r="V30" s="91">
        <f t="shared" si="10"/>
        <v>0</v>
      </c>
      <c r="W30" s="91">
        <f t="shared" si="11"/>
        <v>0</v>
      </c>
      <c r="X30" s="145">
        <f t="shared" si="12"/>
        <v>0</v>
      </c>
      <c r="AS30" s="147"/>
      <c r="AT30" s="147"/>
    </row>
    <row r="31" spans="1:48" ht="12.4" customHeight="1" x14ac:dyDescent="0.2">
      <c r="A31" s="49">
        <v>4.8337798118591309</v>
      </c>
      <c r="B31" s="111">
        <v>0</v>
      </c>
      <c r="C31" s="111">
        <f t="shared" si="1"/>
        <v>1</v>
      </c>
      <c r="D31" s="15">
        <f t="shared" si="2"/>
        <v>0</v>
      </c>
      <c r="E31" s="5">
        <f>(2*Table!$AC$16*0.147)/A31</f>
        <v>18.961369535355804</v>
      </c>
      <c r="F31" s="5">
        <f t="shared" si="3"/>
        <v>37.922739070711607</v>
      </c>
      <c r="G31" s="49">
        <f>IF((('Raw Data'!C31)/('Raw Data'!C$135)*100)&lt;0,0,('Raw Data'!C31)/('Raw Data'!C$135)*100)</f>
        <v>0</v>
      </c>
      <c r="H31" s="49">
        <f t="shared" si="4"/>
        <v>0</v>
      </c>
      <c r="I31" s="85">
        <f t="shared" si="5"/>
        <v>3.8174483618271804E-2</v>
      </c>
      <c r="J31" s="5">
        <f>'Raw Data'!F31/I31</f>
        <v>0</v>
      </c>
      <c r="K31" s="24">
        <f t="shared" si="6"/>
        <v>8.5629192120897715E-3</v>
      </c>
      <c r="L31" s="49">
        <f>A31*Table!$AC$9/$AC$16</f>
        <v>1.0853646389637657</v>
      </c>
      <c r="M31" s="49">
        <f>A31*Table!$AD$9/$AC$16</f>
        <v>0.3721250190732911</v>
      </c>
      <c r="N31" s="49">
        <f>ABS(A31*Table!$AE$9/$AC$16)</f>
        <v>0.46997667485597339</v>
      </c>
      <c r="O31" s="49">
        <f>($L31*(Table!$AC$10/Table!$AC$9)/(Table!$AC$12-Table!$AC$14))</f>
        <v>2.3281094786867564</v>
      </c>
      <c r="P31" s="49">
        <f>ROUND(($N31*(Table!$AE$10/Table!$AE$9)/(Table!$AC$12-Table!$AC$13)),2)</f>
        <v>3.86</v>
      </c>
      <c r="Q31" s="49">
        <f>'Raw Data'!C31</f>
        <v>0</v>
      </c>
      <c r="R31" s="49">
        <f>'Raw Data'!C31/'Raw Data'!I$30*100</f>
        <v>0</v>
      </c>
      <c r="S31" s="54">
        <f t="shared" si="7"/>
        <v>0</v>
      </c>
      <c r="T31" s="54">
        <f t="shared" si="8"/>
        <v>1</v>
      </c>
      <c r="U31" s="91">
        <f t="shared" si="9"/>
        <v>0</v>
      </c>
      <c r="V31" s="91">
        <f t="shared" si="10"/>
        <v>0</v>
      </c>
      <c r="W31" s="91">
        <f t="shared" si="11"/>
        <v>0</v>
      </c>
      <c r="X31" s="145">
        <f t="shared" si="12"/>
        <v>0</v>
      </c>
      <c r="AS31" s="147"/>
      <c r="AT31" s="147"/>
    </row>
    <row r="32" spans="1:48" ht="12.4" customHeight="1" x14ac:dyDescent="0.2">
      <c r="A32" s="49">
        <v>5.2766876220703125</v>
      </c>
      <c r="B32" s="111">
        <v>0</v>
      </c>
      <c r="C32" s="111">
        <f t="shared" si="1"/>
        <v>1</v>
      </c>
      <c r="D32" s="15">
        <f t="shared" si="2"/>
        <v>0</v>
      </c>
      <c r="E32" s="5">
        <f>(2*Table!$AC$16*0.147)/A32</f>
        <v>17.369814518078805</v>
      </c>
      <c r="F32" s="5">
        <f t="shared" si="3"/>
        <v>34.739629036157609</v>
      </c>
      <c r="G32" s="49">
        <f>IF((('Raw Data'!C32)/('Raw Data'!C$135)*100)&lt;0,0,('Raw Data'!C32)/('Raw Data'!C$135)*100)</f>
        <v>0</v>
      </c>
      <c r="H32" s="49">
        <f t="shared" si="4"/>
        <v>0</v>
      </c>
      <c r="I32" s="85">
        <f t="shared" si="5"/>
        <v>3.807452130987321E-2</v>
      </c>
      <c r="J32" s="5">
        <f>'Raw Data'!F32/I32</f>
        <v>0</v>
      </c>
      <c r="K32" s="24">
        <f t="shared" si="6"/>
        <v>9.3475192445399997E-3</v>
      </c>
      <c r="L32" s="49">
        <f>A32*Table!$AC$9/$AC$16</f>
        <v>1.1848140334820489</v>
      </c>
      <c r="M32" s="49">
        <f>A32*Table!$AD$9/$AC$16</f>
        <v>0.4062219543367025</v>
      </c>
      <c r="N32" s="49">
        <f>ABS(A32*Table!$AE$9/$AC$16)</f>
        <v>0.51303952587788049</v>
      </c>
      <c r="O32" s="49">
        <f>($L32*(Table!$AC$10/Table!$AC$9)/(Table!$AC$12-Table!$AC$14))</f>
        <v>2.5414286432476385</v>
      </c>
      <c r="P32" s="49">
        <f>ROUND(($N32*(Table!$AE$10/Table!$AE$9)/(Table!$AC$12-Table!$AC$13)),2)</f>
        <v>4.21</v>
      </c>
      <c r="Q32" s="49">
        <f>'Raw Data'!C32</f>
        <v>0</v>
      </c>
      <c r="R32" s="49">
        <f>'Raw Data'!C32/'Raw Data'!I$30*100</f>
        <v>0</v>
      </c>
      <c r="S32" s="54">
        <f t="shared" si="7"/>
        <v>0</v>
      </c>
      <c r="T32" s="54">
        <f t="shared" si="8"/>
        <v>1</v>
      </c>
      <c r="U32" s="91">
        <f t="shared" si="9"/>
        <v>0</v>
      </c>
      <c r="V32" s="91">
        <f t="shared" si="10"/>
        <v>0</v>
      </c>
      <c r="W32" s="91">
        <f t="shared" si="11"/>
        <v>0</v>
      </c>
      <c r="X32" s="145">
        <f t="shared" si="12"/>
        <v>0</v>
      </c>
      <c r="AS32" s="147"/>
      <c r="AT32" s="147"/>
    </row>
    <row r="33" spans="1:46" ht="12.4" customHeight="1" x14ac:dyDescent="0.2">
      <c r="A33" s="49">
        <v>5.7668213844299316</v>
      </c>
      <c r="B33" s="111">
        <v>0</v>
      </c>
      <c r="C33" s="111">
        <f t="shared" si="1"/>
        <v>1</v>
      </c>
      <c r="D33" s="15">
        <f t="shared" si="2"/>
        <v>0</v>
      </c>
      <c r="E33" s="5">
        <f>(2*Table!$AC$16*0.147)/A33</f>
        <v>15.893519003842709</v>
      </c>
      <c r="F33" s="5">
        <f t="shared" si="3"/>
        <v>31.787038007685418</v>
      </c>
      <c r="G33" s="49">
        <f>IF((('Raw Data'!C33)/('Raw Data'!C$135)*100)&lt;0,0,('Raw Data'!C33)/('Raw Data'!C$135)*100)</f>
        <v>0</v>
      </c>
      <c r="H33" s="49">
        <f t="shared" si="4"/>
        <v>0</v>
      </c>
      <c r="I33" s="85">
        <f t="shared" si="5"/>
        <v>3.8575115362890156E-2</v>
      </c>
      <c r="J33" s="5">
        <f>'Raw Data'!F33/I33</f>
        <v>0</v>
      </c>
      <c r="K33" s="24">
        <f t="shared" si="6"/>
        <v>1.021577886197359E-2</v>
      </c>
      <c r="L33" s="49">
        <f>A33*Table!$AC$9/$AC$16</f>
        <v>1.294867423320424</v>
      </c>
      <c r="M33" s="49">
        <f>A33*Table!$AD$9/$AC$16</f>
        <v>0.44395454513843108</v>
      </c>
      <c r="N33" s="49">
        <f>ABS(A33*Table!$AE$9/$AC$16)</f>
        <v>0.560694041564193</v>
      </c>
      <c r="O33" s="49">
        <f>($L33*(Table!$AC$10/Table!$AC$9)/(Table!$AC$12-Table!$AC$14))</f>
        <v>2.7774934005157106</v>
      </c>
      <c r="P33" s="49">
        <f>ROUND(($N33*(Table!$AE$10/Table!$AE$9)/(Table!$AC$12-Table!$AC$13)),2)</f>
        <v>4.5999999999999996</v>
      </c>
      <c r="Q33" s="49">
        <f>'Raw Data'!C33</f>
        <v>0</v>
      </c>
      <c r="R33" s="49">
        <f>'Raw Data'!C33/'Raw Data'!I$30*100</f>
        <v>0</v>
      </c>
      <c r="S33" s="54">
        <f t="shared" si="7"/>
        <v>0</v>
      </c>
      <c r="T33" s="54">
        <f t="shared" si="8"/>
        <v>1</v>
      </c>
      <c r="U33" s="91">
        <f t="shared" si="9"/>
        <v>0</v>
      </c>
      <c r="V33" s="91">
        <f t="shared" si="10"/>
        <v>0</v>
      </c>
      <c r="W33" s="91">
        <f t="shared" si="11"/>
        <v>0</v>
      </c>
      <c r="X33" s="145">
        <f t="shared" si="12"/>
        <v>0</v>
      </c>
      <c r="AS33" s="147"/>
      <c r="AT33" s="147"/>
    </row>
    <row r="34" spans="1:46" ht="12.4" customHeight="1" x14ac:dyDescent="0.2">
      <c r="A34" s="49">
        <v>6.3062310218811035</v>
      </c>
      <c r="B34" s="111">
        <v>0</v>
      </c>
      <c r="C34" s="111">
        <f t="shared" si="1"/>
        <v>1</v>
      </c>
      <c r="D34" s="15">
        <f t="shared" si="2"/>
        <v>0</v>
      </c>
      <c r="E34" s="5">
        <f>(2*Table!$AC$16*0.147)/A34</f>
        <v>14.534051313245987</v>
      </c>
      <c r="F34" s="5">
        <f t="shared" si="3"/>
        <v>29.068102626491974</v>
      </c>
      <c r="G34" s="49">
        <f>IF((('Raw Data'!C34)/('Raw Data'!C$135)*100)&lt;0,0,('Raw Data'!C34)/('Raw Data'!C$135)*100)</f>
        <v>0</v>
      </c>
      <c r="H34" s="49">
        <f t="shared" si="4"/>
        <v>0</v>
      </c>
      <c r="I34" s="85">
        <f t="shared" si="5"/>
        <v>3.8833376376568696E-2</v>
      </c>
      <c r="J34" s="5">
        <f>'Raw Data'!F34/I34</f>
        <v>0</v>
      </c>
      <c r="K34" s="24">
        <f t="shared" si="6"/>
        <v>1.1171329451262953E-2</v>
      </c>
      <c r="L34" s="49">
        <f>A34*Table!$AC$9/$AC$16</f>
        <v>1.4159850929688049</v>
      </c>
      <c r="M34" s="49">
        <f>A34*Table!$AD$9/$AC$16</f>
        <v>0.48548060330359022</v>
      </c>
      <c r="N34" s="49">
        <f>ABS(A34*Table!$AE$9/$AC$16)</f>
        <v>0.61313953094552764</v>
      </c>
      <c r="O34" s="49">
        <f>($L34*(Table!$AC$10/Table!$AC$9)/(Table!$AC$12-Table!$AC$14))</f>
        <v>3.0372910617091491</v>
      </c>
      <c r="P34" s="49">
        <f>ROUND(($N34*(Table!$AE$10/Table!$AE$9)/(Table!$AC$12-Table!$AC$13)),2)</f>
        <v>5.03</v>
      </c>
      <c r="Q34" s="49">
        <f>'Raw Data'!C34</f>
        <v>0</v>
      </c>
      <c r="R34" s="49">
        <f>'Raw Data'!C34/'Raw Data'!I$30*100</f>
        <v>0</v>
      </c>
      <c r="S34" s="54">
        <f t="shared" si="7"/>
        <v>0</v>
      </c>
      <c r="T34" s="54">
        <f t="shared" si="8"/>
        <v>1</v>
      </c>
      <c r="U34" s="91">
        <f t="shared" si="9"/>
        <v>0</v>
      </c>
      <c r="V34" s="91">
        <f t="shared" si="10"/>
        <v>0</v>
      </c>
      <c r="W34" s="91">
        <f t="shared" si="11"/>
        <v>0</v>
      </c>
      <c r="X34" s="145">
        <f t="shared" si="12"/>
        <v>0</v>
      </c>
      <c r="AS34" s="147"/>
      <c r="AT34" s="147"/>
    </row>
    <row r="35" spans="1:46" ht="12.4" customHeight="1" x14ac:dyDescent="0.2">
      <c r="A35" s="49">
        <v>6.8991799354553223</v>
      </c>
      <c r="B35" s="111">
        <v>0</v>
      </c>
      <c r="C35" s="111">
        <f t="shared" si="1"/>
        <v>1</v>
      </c>
      <c r="D35" s="15">
        <f t="shared" si="2"/>
        <v>0</v>
      </c>
      <c r="E35" s="5">
        <f>(2*Table!$AC$16*0.147)/A35</f>
        <v>13.284924603021636</v>
      </c>
      <c r="F35" s="5">
        <f t="shared" si="3"/>
        <v>26.569849206043273</v>
      </c>
      <c r="G35" s="49">
        <f>IF((('Raw Data'!C35)/('Raw Data'!C$135)*100)&lt;0,0,('Raw Data'!C35)/('Raw Data'!C$135)*100)</f>
        <v>0</v>
      </c>
      <c r="H35" s="49">
        <f t="shared" si="4"/>
        <v>0</v>
      </c>
      <c r="I35" s="85">
        <f t="shared" si="5"/>
        <v>3.9027595192228093E-2</v>
      </c>
      <c r="J35" s="5">
        <f>'Raw Data'!F35/I35</f>
        <v>0</v>
      </c>
      <c r="K35" s="24">
        <f t="shared" si="6"/>
        <v>1.2221723519974083E-2</v>
      </c>
      <c r="L35" s="49">
        <f>A35*Table!$AC$9/$AC$16</f>
        <v>1.5491243356638327</v>
      </c>
      <c r="M35" s="49">
        <f>A35*Table!$AD$9/$AC$16</f>
        <v>0.53112834365617123</v>
      </c>
      <c r="N35" s="49">
        <f>ABS(A35*Table!$AE$9/$AC$16)</f>
        <v>0.67079051415278557</v>
      </c>
      <c r="O35" s="49">
        <f>($L35*(Table!$AC$10/Table!$AC$9)/(Table!$AC$12-Table!$AC$14))</f>
        <v>3.3228750228739443</v>
      </c>
      <c r="P35" s="49">
        <f>ROUND(($N35*(Table!$AE$10/Table!$AE$9)/(Table!$AC$12-Table!$AC$13)),2)</f>
        <v>5.51</v>
      </c>
      <c r="Q35" s="49">
        <f>'Raw Data'!C35</f>
        <v>0</v>
      </c>
      <c r="R35" s="49">
        <f>'Raw Data'!C35/'Raw Data'!I$30*100</f>
        <v>0</v>
      </c>
      <c r="S35" s="54">
        <f t="shared" si="7"/>
        <v>0</v>
      </c>
      <c r="T35" s="54">
        <f t="shared" si="8"/>
        <v>1</v>
      </c>
      <c r="U35" s="91">
        <f t="shared" si="9"/>
        <v>0</v>
      </c>
      <c r="V35" s="91">
        <f t="shared" si="10"/>
        <v>0</v>
      </c>
      <c r="W35" s="91">
        <f t="shared" si="11"/>
        <v>0</v>
      </c>
      <c r="X35" s="145">
        <f t="shared" si="12"/>
        <v>0</v>
      </c>
      <c r="AS35" s="147"/>
      <c r="AT35" s="147"/>
    </row>
    <row r="36" spans="1:46" ht="12.4" customHeight="1" x14ac:dyDescent="0.2">
      <c r="A36" s="49">
        <v>7.5447664260864258</v>
      </c>
      <c r="B36" s="111">
        <v>0</v>
      </c>
      <c r="C36" s="111">
        <f t="shared" si="1"/>
        <v>1</v>
      </c>
      <c r="D36" s="15">
        <f t="shared" si="2"/>
        <v>0</v>
      </c>
      <c r="E36" s="5">
        <f>(2*Table!$AC$16*0.147)/A36</f>
        <v>12.148167363843282</v>
      </c>
      <c r="F36" s="5">
        <f t="shared" si="3"/>
        <v>24.296334727686563</v>
      </c>
      <c r="G36" s="49">
        <f>IF((('Raw Data'!C36)/('Raw Data'!C$135)*100)&lt;0,0,('Raw Data'!C36)/('Raw Data'!C$135)*100)</f>
        <v>0</v>
      </c>
      <c r="H36" s="49">
        <f t="shared" si="4"/>
        <v>0</v>
      </c>
      <c r="I36" s="85">
        <f t="shared" si="5"/>
        <v>3.8848327457251086E-2</v>
      </c>
      <c r="J36" s="5">
        <f>'Raw Data'!F36/I36</f>
        <v>0</v>
      </c>
      <c r="K36" s="24">
        <f t="shared" si="6"/>
        <v>1.3365363730917932E-2</v>
      </c>
      <c r="L36" s="49">
        <f>A36*Table!$AC$9/$AC$16</f>
        <v>1.6940826861879157</v>
      </c>
      <c r="M36" s="49">
        <f>A36*Table!$AD$9/$AC$16</f>
        <v>0.58082834955014251</v>
      </c>
      <c r="N36" s="49">
        <f>ABS(A36*Table!$AE$9/$AC$16)</f>
        <v>0.73355932117505818</v>
      </c>
      <c r="O36" s="49">
        <f>($L36*(Table!$AC$10/Table!$AC$9)/(Table!$AC$12-Table!$AC$14))</f>
        <v>3.6338109956840752</v>
      </c>
      <c r="P36" s="49">
        <f>ROUND(($N36*(Table!$AE$10/Table!$AE$9)/(Table!$AC$12-Table!$AC$13)),2)</f>
        <v>6.02</v>
      </c>
      <c r="Q36" s="49">
        <f>'Raw Data'!C36</f>
        <v>0</v>
      </c>
      <c r="R36" s="49">
        <f>'Raw Data'!C36/'Raw Data'!I$30*100</f>
        <v>0</v>
      </c>
      <c r="S36" s="54">
        <f t="shared" si="7"/>
        <v>0</v>
      </c>
      <c r="T36" s="54">
        <f t="shared" si="8"/>
        <v>1</v>
      </c>
      <c r="U36" s="91">
        <f t="shared" si="9"/>
        <v>0</v>
      </c>
      <c r="V36" s="91">
        <f t="shared" si="10"/>
        <v>0</v>
      </c>
      <c r="W36" s="91">
        <f t="shared" si="11"/>
        <v>0</v>
      </c>
      <c r="X36" s="145">
        <f t="shared" si="12"/>
        <v>0</v>
      </c>
      <c r="AS36" s="147"/>
      <c r="AT36" s="147"/>
    </row>
    <row r="37" spans="1:46" ht="12.4" customHeight="1" x14ac:dyDescent="0.2">
      <c r="A37" s="49">
        <v>8.2520084381103516</v>
      </c>
      <c r="B37" s="111">
        <v>0</v>
      </c>
      <c r="C37" s="111">
        <f t="shared" si="1"/>
        <v>1</v>
      </c>
      <c r="D37" s="15">
        <f t="shared" si="2"/>
        <v>0</v>
      </c>
      <c r="E37" s="5">
        <f>(2*Table!$AC$16*0.147)/A37</f>
        <v>11.107003337746461</v>
      </c>
      <c r="F37" s="5">
        <f t="shared" si="3"/>
        <v>22.214006675492922</v>
      </c>
      <c r="G37" s="49">
        <f>IF((('Raw Data'!C37)/('Raw Data'!C$135)*100)&lt;0,0,('Raw Data'!C37)/('Raw Data'!C$135)*100)</f>
        <v>0</v>
      </c>
      <c r="H37" s="49">
        <f t="shared" si="4"/>
        <v>0</v>
      </c>
      <c r="I37" s="85">
        <f t="shared" si="5"/>
        <v>3.8913864133693687E-2</v>
      </c>
      <c r="J37" s="5">
        <f>'Raw Data'!F37/I37</f>
        <v>0</v>
      </c>
      <c r="K37" s="24">
        <f t="shared" si="6"/>
        <v>1.4618225145395037E-2</v>
      </c>
      <c r="L37" s="49">
        <f>A37*Table!$AC$9/$AC$16</f>
        <v>1.8528850108525805</v>
      </c>
      <c r="M37" s="49">
        <f>A37*Table!$AD$9/$AC$16</f>
        <v>0.63527486086374185</v>
      </c>
      <c r="N37" s="49">
        <f>ABS(A37*Table!$AE$9/$AC$16)</f>
        <v>0.80232274484487009</v>
      </c>
      <c r="O37" s="49">
        <f>($L37*(Table!$AC$10/Table!$AC$9)/(Table!$AC$12-Table!$AC$14))</f>
        <v>3.9744423227211083</v>
      </c>
      <c r="P37" s="49">
        <f>ROUND(($N37*(Table!$AE$10/Table!$AE$9)/(Table!$AC$12-Table!$AC$13)),2)</f>
        <v>6.59</v>
      </c>
      <c r="Q37" s="49">
        <f>'Raw Data'!C37</f>
        <v>0</v>
      </c>
      <c r="R37" s="49">
        <f>'Raw Data'!C37/'Raw Data'!I$30*100</f>
        <v>0</v>
      </c>
      <c r="S37" s="54">
        <f t="shared" si="7"/>
        <v>0</v>
      </c>
      <c r="T37" s="54">
        <f t="shared" si="8"/>
        <v>1</v>
      </c>
      <c r="U37" s="91">
        <f t="shared" si="9"/>
        <v>0</v>
      </c>
      <c r="V37" s="91">
        <f t="shared" si="10"/>
        <v>0</v>
      </c>
      <c r="W37" s="91">
        <f t="shared" si="11"/>
        <v>0</v>
      </c>
      <c r="X37" s="145">
        <f t="shared" si="12"/>
        <v>0</v>
      </c>
      <c r="AS37" s="147"/>
      <c r="AT37" s="147"/>
    </row>
    <row r="38" spans="1:46" ht="12.4" customHeight="1" x14ac:dyDescent="0.2">
      <c r="A38" s="49">
        <v>9.0297622680664062</v>
      </c>
      <c r="B38" s="111">
        <v>0</v>
      </c>
      <c r="C38" s="111">
        <f t="shared" si="1"/>
        <v>1</v>
      </c>
      <c r="D38" s="15">
        <f t="shared" si="2"/>
        <v>0</v>
      </c>
      <c r="E38" s="5">
        <f>(2*Table!$AC$16*0.147)/A38</f>
        <v>10.150332040228813</v>
      </c>
      <c r="F38" s="5">
        <f t="shared" si="3"/>
        <v>20.300664080457626</v>
      </c>
      <c r="G38" s="49">
        <f>IF((('Raw Data'!C38)/('Raw Data'!C$135)*100)&lt;0,0,('Raw Data'!C38)/('Raw Data'!C$135)*100)</f>
        <v>0</v>
      </c>
      <c r="H38" s="49">
        <f t="shared" si="4"/>
        <v>0</v>
      </c>
      <c r="I38" s="85">
        <f t="shared" si="5"/>
        <v>3.9116653144152469E-2</v>
      </c>
      <c r="J38" s="5">
        <f>'Raw Data'!F38/I38</f>
        <v>0</v>
      </c>
      <c r="K38" s="24">
        <f t="shared" si="6"/>
        <v>1.5995996469704829E-2</v>
      </c>
      <c r="L38" s="49">
        <f>A38*Table!$AC$9/$AC$16</f>
        <v>2.0275198799837564</v>
      </c>
      <c r="M38" s="49">
        <f>A38*Table!$AD$9/$AC$16</f>
        <v>0.69514967313728793</v>
      </c>
      <c r="N38" s="49">
        <f>ABS(A38*Table!$AE$9/$AC$16)</f>
        <v>0.87794186137195473</v>
      </c>
      <c r="O38" s="49">
        <f>($L38*(Table!$AC$10/Table!$AC$9)/(Table!$AC$12-Table!$AC$14))</f>
        <v>4.3490344915996495</v>
      </c>
      <c r="P38" s="49">
        <f>ROUND(($N38*(Table!$AE$10/Table!$AE$9)/(Table!$AC$12-Table!$AC$13)),2)</f>
        <v>7.21</v>
      </c>
      <c r="Q38" s="49">
        <f>'Raw Data'!C38</f>
        <v>0</v>
      </c>
      <c r="R38" s="49">
        <f>'Raw Data'!C38/'Raw Data'!I$30*100</f>
        <v>0</v>
      </c>
      <c r="S38" s="54">
        <f t="shared" si="7"/>
        <v>0</v>
      </c>
      <c r="T38" s="54">
        <f t="shared" si="8"/>
        <v>1</v>
      </c>
      <c r="U38" s="91">
        <f t="shared" si="9"/>
        <v>0</v>
      </c>
      <c r="V38" s="91">
        <f t="shared" si="10"/>
        <v>0</v>
      </c>
      <c r="W38" s="91">
        <f t="shared" si="11"/>
        <v>0</v>
      </c>
      <c r="X38" s="145">
        <f t="shared" si="12"/>
        <v>0</v>
      </c>
      <c r="AS38" s="147"/>
      <c r="AT38" s="147"/>
    </row>
    <row r="39" spans="1:46" ht="12.4" customHeight="1" x14ac:dyDescent="0.2">
      <c r="A39" s="49">
        <v>9.8781089782714844</v>
      </c>
      <c r="B39" s="111">
        <v>0</v>
      </c>
      <c r="C39" s="111">
        <f t="shared" si="1"/>
        <v>1</v>
      </c>
      <c r="D39" s="15">
        <f t="shared" si="2"/>
        <v>0</v>
      </c>
      <c r="E39" s="5">
        <f>(2*Table!$AC$16*0.147)/A39</f>
        <v>9.2786064080497574</v>
      </c>
      <c r="F39" s="5">
        <f t="shared" si="3"/>
        <v>18.557212816099515</v>
      </c>
      <c r="G39" s="49">
        <f>IF((('Raw Data'!C39)/('Raw Data'!C$135)*100)&lt;0,0,('Raw Data'!C39)/('Raw Data'!C$135)*100)</f>
        <v>0</v>
      </c>
      <c r="H39" s="49">
        <f t="shared" si="4"/>
        <v>0</v>
      </c>
      <c r="I39" s="85">
        <f t="shared" si="5"/>
        <v>3.8997496585080227E-2</v>
      </c>
      <c r="J39" s="5">
        <f>'Raw Data'!F39/I39</f>
        <v>0</v>
      </c>
      <c r="K39" s="24">
        <f t="shared" si="6"/>
        <v>1.7498821303700372E-2</v>
      </c>
      <c r="L39" s="49">
        <f>A39*Table!$AC$9/$AC$16</f>
        <v>2.218005495108144</v>
      </c>
      <c r="M39" s="49">
        <f>A39*Table!$AD$9/$AC$16</f>
        <v>0.76045902689422074</v>
      </c>
      <c r="N39" s="49">
        <f>ABS(A39*Table!$AE$9/$AC$16)</f>
        <v>0.96042455224856715</v>
      </c>
      <c r="O39" s="49">
        <f>($L39*(Table!$AC$10/Table!$AC$9)/(Table!$AC$12-Table!$AC$14))</f>
        <v>4.7576265446335135</v>
      </c>
      <c r="P39" s="49">
        <f>ROUND(($N39*(Table!$AE$10/Table!$AE$9)/(Table!$AC$12-Table!$AC$13)),2)</f>
        <v>7.89</v>
      </c>
      <c r="Q39" s="49">
        <f>'Raw Data'!C39</f>
        <v>0</v>
      </c>
      <c r="R39" s="49">
        <f>'Raw Data'!C39/'Raw Data'!I$30*100</f>
        <v>0</v>
      </c>
      <c r="S39" s="54">
        <f t="shared" si="7"/>
        <v>0</v>
      </c>
      <c r="T39" s="54">
        <f t="shared" si="8"/>
        <v>1</v>
      </c>
      <c r="U39" s="91">
        <f t="shared" si="9"/>
        <v>0</v>
      </c>
      <c r="V39" s="91">
        <f t="shared" si="10"/>
        <v>0</v>
      </c>
      <c r="W39" s="91">
        <f t="shared" si="11"/>
        <v>0</v>
      </c>
      <c r="X39" s="145">
        <f t="shared" si="12"/>
        <v>0</v>
      </c>
      <c r="AS39" s="147"/>
      <c r="AT39" s="147"/>
    </row>
    <row r="40" spans="1:46" ht="12.4" customHeight="1" x14ac:dyDescent="0.2">
      <c r="A40" s="49">
        <v>10.786225318908691</v>
      </c>
      <c r="B40" s="111">
        <v>0</v>
      </c>
      <c r="C40" s="111">
        <f t="shared" si="1"/>
        <v>1</v>
      </c>
      <c r="D40" s="15">
        <f t="shared" si="2"/>
        <v>0</v>
      </c>
      <c r="E40" s="5">
        <f>(2*Table!$AC$16*0.147)/A40</f>
        <v>8.4974198623988091</v>
      </c>
      <c r="F40" s="5">
        <f t="shared" si="3"/>
        <v>16.994839724797618</v>
      </c>
      <c r="G40" s="49">
        <f>IF((('Raw Data'!C40)/('Raw Data'!C$135)*100)&lt;0,0,('Raw Data'!C40)/('Raw Data'!C$135)*100)</f>
        <v>0</v>
      </c>
      <c r="H40" s="49">
        <f t="shared" si="4"/>
        <v>0</v>
      </c>
      <c r="I40" s="85">
        <f t="shared" si="5"/>
        <v>3.8195675124288897E-2</v>
      </c>
      <c r="J40" s="5">
        <f>'Raw Data'!F40/I40</f>
        <v>0</v>
      </c>
      <c r="K40" s="24">
        <f t="shared" si="6"/>
        <v>1.910752653288296E-2</v>
      </c>
      <c r="L40" s="49">
        <f>A40*Table!$AC$9/$AC$16</f>
        <v>2.4219116312078168</v>
      </c>
      <c r="M40" s="49">
        <f>A40*Table!$AD$9/$AC$16</f>
        <v>0.83036970212839434</v>
      </c>
      <c r="N40" s="49">
        <f>ABS(A40*Table!$AE$9/$AC$16)</f>
        <v>1.048718499173489</v>
      </c>
      <c r="O40" s="49">
        <f>($L40*(Table!$AC$10/Table!$AC$9)/(Table!$AC$12-Table!$AC$14))</f>
        <v>5.1950056439464118</v>
      </c>
      <c r="P40" s="49">
        <f>ROUND(($N40*(Table!$AE$10/Table!$AE$9)/(Table!$AC$12-Table!$AC$13)),2)</f>
        <v>8.61</v>
      </c>
      <c r="Q40" s="49">
        <f>'Raw Data'!C40</f>
        <v>0</v>
      </c>
      <c r="R40" s="49">
        <f>'Raw Data'!C40/'Raw Data'!I$30*100</f>
        <v>0</v>
      </c>
      <c r="S40" s="54">
        <f t="shared" si="7"/>
        <v>0</v>
      </c>
      <c r="T40" s="54">
        <f t="shared" si="8"/>
        <v>1</v>
      </c>
      <c r="U40" s="91">
        <f t="shared" si="9"/>
        <v>0</v>
      </c>
      <c r="V40" s="91">
        <f t="shared" si="10"/>
        <v>0</v>
      </c>
      <c r="W40" s="91">
        <f t="shared" si="11"/>
        <v>0</v>
      </c>
      <c r="X40" s="145">
        <f t="shared" si="12"/>
        <v>0</v>
      </c>
      <c r="AS40" s="147"/>
      <c r="AT40" s="147"/>
    </row>
    <row r="41" spans="1:46" ht="12.4" customHeight="1" x14ac:dyDescent="0.2">
      <c r="A41" s="49">
        <v>11.885378837585449</v>
      </c>
      <c r="B41" s="111">
        <v>0</v>
      </c>
      <c r="C41" s="111">
        <f t="shared" si="1"/>
        <v>1</v>
      </c>
      <c r="D41" s="15">
        <f t="shared" si="2"/>
        <v>0</v>
      </c>
      <c r="E41" s="5">
        <f>(2*Table!$AC$16*0.147)/A41</f>
        <v>7.7115829892910375</v>
      </c>
      <c r="F41" s="5">
        <f t="shared" si="3"/>
        <v>15.423165978582075</v>
      </c>
      <c r="G41" s="49">
        <f>IF((('Raw Data'!C41)/('Raw Data'!C$135)*100)&lt;0,0,('Raw Data'!C41)/('Raw Data'!C$135)*100)</f>
        <v>0</v>
      </c>
      <c r="H41" s="49">
        <f t="shared" si="4"/>
        <v>0</v>
      </c>
      <c r="I41" s="85">
        <f t="shared" si="5"/>
        <v>4.2143540853808337E-2</v>
      </c>
      <c r="J41" s="5">
        <f>'Raw Data'!F41/I41</f>
        <v>0</v>
      </c>
      <c r="K41" s="24">
        <f t="shared" si="6"/>
        <v>2.1054649312249554E-2</v>
      </c>
      <c r="L41" s="49">
        <f>A41*Table!$AC$9/$AC$16</f>
        <v>2.6687127699434918</v>
      </c>
      <c r="M41" s="49">
        <f>A41*Table!$AD$9/$AC$16</f>
        <v>0.91498723540919724</v>
      </c>
      <c r="N41" s="49">
        <f>ABS(A41*Table!$AE$9/$AC$16)</f>
        <v>1.1555865270875001</v>
      </c>
      <c r="O41" s="49">
        <f>($L41*(Table!$AC$10/Table!$AC$9)/(Table!$AC$12-Table!$AC$14))</f>
        <v>5.7243946159234067</v>
      </c>
      <c r="P41" s="49">
        <f>ROUND(($N41*(Table!$AE$10/Table!$AE$9)/(Table!$AC$12-Table!$AC$13)),2)</f>
        <v>9.49</v>
      </c>
      <c r="Q41" s="49">
        <f>'Raw Data'!C41</f>
        <v>0</v>
      </c>
      <c r="R41" s="49">
        <f>'Raw Data'!C41/'Raw Data'!I$30*100</f>
        <v>0</v>
      </c>
      <c r="S41" s="54">
        <f t="shared" si="7"/>
        <v>0</v>
      </c>
      <c r="T41" s="54">
        <f t="shared" si="8"/>
        <v>1</v>
      </c>
      <c r="U41" s="91">
        <f t="shared" si="9"/>
        <v>0</v>
      </c>
      <c r="V41" s="91">
        <f t="shared" si="10"/>
        <v>0</v>
      </c>
      <c r="W41" s="91">
        <f t="shared" si="11"/>
        <v>0</v>
      </c>
      <c r="X41" s="145">
        <f t="shared" si="12"/>
        <v>0</v>
      </c>
      <c r="AS41" s="147"/>
      <c r="AT41" s="147"/>
    </row>
    <row r="42" spans="1:46" ht="12.4" customHeight="1" x14ac:dyDescent="0.2">
      <c r="A42" s="49">
        <v>12.882453918457031</v>
      </c>
      <c r="B42" s="111">
        <v>0</v>
      </c>
      <c r="C42" s="111">
        <f t="shared" si="1"/>
        <v>1</v>
      </c>
      <c r="D42" s="15">
        <f t="shared" si="2"/>
        <v>0</v>
      </c>
      <c r="E42" s="5">
        <f>(2*Table!$AC$16*0.147)/A42</f>
        <v>7.1147225400812015</v>
      </c>
      <c r="F42" s="5">
        <f t="shared" si="3"/>
        <v>14.229445080162403</v>
      </c>
      <c r="G42" s="49">
        <f>IF((('Raw Data'!C42)/('Raw Data'!C$135)*100)&lt;0,0,('Raw Data'!C42)/('Raw Data'!C$135)*100)</f>
        <v>0</v>
      </c>
      <c r="H42" s="49">
        <f t="shared" si="4"/>
        <v>0</v>
      </c>
      <c r="I42" s="85">
        <f t="shared" si="5"/>
        <v>3.4985568533138278E-2</v>
      </c>
      <c r="J42" s="5">
        <f>'Raw Data'!F42/I42</f>
        <v>0</v>
      </c>
      <c r="K42" s="24">
        <f t="shared" si="6"/>
        <v>2.2820942709591428E-2</v>
      </c>
      <c r="L42" s="49">
        <f>A42*Table!$AC$9/$AC$16</f>
        <v>2.8925934755798806</v>
      </c>
      <c r="M42" s="49">
        <f>A42*Table!$AD$9/$AC$16</f>
        <v>0.99174633448453053</v>
      </c>
      <c r="N42" s="49">
        <f>ABS(A42*Table!$AE$9/$AC$16)</f>
        <v>1.2525297163366496</v>
      </c>
      <c r="O42" s="49">
        <f>($L42*(Table!$AC$10/Table!$AC$9)/(Table!$AC$12-Table!$AC$14))</f>
        <v>6.2046192097380546</v>
      </c>
      <c r="P42" s="49">
        <f>ROUND(($N42*(Table!$AE$10/Table!$AE$9)/(Table!$AC$12-Table!$AC$13)),2)</f>
        <v>10.28</v>
      </c>
      <c r="Q42" s="49">
        <f>'Raw Data'!C42</f>
        <v>0</v>
      </c>
      <c r="R42" s="49">
        <f>'Raw Data'!C42/'Raw Data'!I$30*100</f>
        <v>0</v>
      </c>
      <c r="S42" s="54">
        <f t="shared" si="7"/>
        <v>0</v>
      </c>
      <c r="T42" s="54">
        <f t="shared" si="8"/>
        <v>1</v>
      </c>
      <c r="U42" s="91">
        <f t="shared" si="9"/>
        <v>0</v>
      </c>
      <c r="V42" s="91">
        <f t="shared" si="10"/>
        <v>0</v>
      </c>
      <c r="W42" s="91">
        <f t="shared" si="11"/>
        <v>0</v>
      </c>
      <c r="X42" s="145">
        <f t="shared" si="12"/>
        <v>0</v>
      </c>
      <c r="AS42" s="147"/>
      <c r="AT42" s="147"/>
    </row>
    <row r="43" spans="1:46" ht="12.4" customHeight="1" x14ac:dyDescent="0.2">
      <c r="A43" s="49">
        <v>14.181661605834961</v>
      </c>
      <c r="B43" s="111">
        <v>0</v>
      </c>
      <c r="C43" s="111">
        <f t="shared" si="1"/>
        <v>1</v>
      </c>
      <c r="D43" s="15">
        <f t="shared" si="2"/>
        <v>0</v>
      </c>
      <c r="E43" s="5">
        <f>(2*Table!$AC$16*0.147)/A43</f>
        <v>6.4629299311085449</v>
      </c>
      <c r="F43" s="5">
        <f t="shared" si="3"/>
        <v>12.92585986221709</v>
      </c>
      <c r="G43" s="49">
        <f>IF((('Raw Data'!C43)/('Raw Data'!C$135)*100)&lt;0,0,('Raw Data'!C43)/('Raw Data'!C$135)*100)</f>
        <v>0</v>
      </c>
      <c r="H43" s="49">
        <f t="shared" si="4"/>
        <v>0</v>
      </c>
      <c r="I43" s="85">
        <f t="shared" si="5"/>
        <v>4.1728520661304391E-2</v>
      </c>
      <c r="J43" s="5">
        <f>'Raw Data'!F43/I43</f>
        <v>0</v>
      </c>
      <c r="K43" s="24">
        <f t="shared" si="6"/>
        <v>2.5122456411032532E-2</v>
      </c>
      <c r="L43" s="49">
        <f>A43*Table!$AC$9/$AC$16</f>
        <v>3.1843142691274768</v>
      </c>
      <c r="M43" s="49">
        <f>A43*Table!$AD$9/$AC$16</f>
        <v>1.0917648922722778</v>
      </c>
      <c r="N43" s="49">
        <f>ABS(A43*Table!$AE$9/$AC$16)</f>
        <v>1.3788485253488365</v>
      </c>
      <c r="O43" s="49">
        <f>($L43*(Table!$AC$10/Table!$AC$9)/(Table!$AC$12-Table!$AC$14))</f>
        <v>6.8303609376393766</v>
      </c>
      <c r="P43" s="49">
        <f>ROUND(($N43*(Table!$AE$10/Table!$AE$9)/(Table!$AC$12-Table!$AC$13)),2)</f>
        <v>11.32</v>
      </c>
      <c r="Q43" s="49">
        <f>'Raw Data'!C43</f>
        <v>0</v>
      </c>
      <c r="R43" s="49">
        <f>'Raw Data'!C43/'Raw Data'!I$30*100</f>
        <v>0</v>
      </c>
      <c r="S43" s="54">
        <f t="shared" si="7"/>
        <v>0</v>
      </c>
      <c r="T43" s="54">
        <f t="shared" si="8"/>
        <v>1</v>
      </c>
      <c r="U43" s="91">
        <f t="shared" si="9"/>
        <v>0</v>
      </c>
      <c r="V43" s="91">
        <f t="shared" si="10"/>
        <v>0</v>
      </c>
      <c r="W43" s="91">
        <f t="shared" si="11"/>
        <v>0</v>
      </c>
      <c r="X43" s="145">
        <f t="shared" si="12"/>
        <v>0</v>
      </c>
      <c r="AS43" s="147"/>
      <c r="AT43" s="147"/>
    </row>
    <row r="44" spans="1:46" ht="12.4" customHeight="1" x14ac:dyDescent="0.2">
      <c r="A44" s="49">
        <v>15.471358299255371</v>
      </c>
      <c r="B44" s="111">
        <v>0</v>
      </c>
      <c r="C44" s="111">
        <f t="shared" si="1"/>
        <v>1</v>
      </c>
      <c r="D44" s="15">
        <f t="shared" si="2"/>
        <v>0</v>
      </c>
      <c r="E44" s="5">
        <f>(2*Table!$AC$16*0.147)/A44</f>
        <v>5.9241783101626542</v>
      </c>
      <c r="F44" s="5">
        <f t="shared" si="3"/>
        <v>11.848356620325308</v>
      </c>
      <c r="G44" s="49">
        <f>IF((('Raw Data'!C44)/('Raw Data'!C$135)*100)&lt;0,0,('Raw Data'!C44)/('Raw Data'!C$135)*100)</f>
        <v>0</v>
      </c>
      <c r="H44" s="49">
        <f t="shared" si="4"/>
        <v>0</v>
      </c>
      <c r="I44" s="85">
        <f t="shared" si="5"/>
        <v>3.7801325722587875E-2</v>
      </c>
      <c r="J44" s="5">
        <f>'Raw Data'!F44/I44</f>
        <v>0</v>
      </c>
      <c r="K44" s="24">
        <f t="shared" si="6"/>
        <v>2.7407121626184482E-2</v>
      </c>
      <c r="L44" s="49">
        <f>A44*Table!$AC$9/$AC$16</f>
        <v>3.4738994882540859</v>
      </c>
      <c r="M44" s="49">
        <f>A44*Table!$AD$9/$AC$16</f>
        <v>1.1910512531156867</v>
      </c>
      <c r="N44" s="49">
        <f>ABS(A44*Table!$AE$9/$AC$16)</f>
        <v>1.5042426035108998</v>
      </c>
      <c r="O44" s="49">
        <f>($L44*(Table!$AC$10/Table!$AC$9)/(Table!$AC$12-Table!$AC$14))</f>
        <v>7.4515218538268684</v>
      </c>
      <c r="P44" s="49">
        <f>ROUND(($N44*(Table!$AE$10/Table!$AE$9)/(Table!$AC$12-Table!$AC$13)),2)</f>
        <v>12.35</v>
      </c>
      <c r="Q44" s="49">
        <f>'Raw Data'!C44</f>
        <v>0</v>
      </c>
      <c r="R44" s="49">
        <f>'Raw Data'!C44/'Raw Data'!I$30*100</f>
        <v>0</v>
      </c>
      <c r="S44" s="54">
        <f t="shared" si="7"/>
        <v>0</v>
      </c>
      <c r="T44" s="54">
        <f t="shared" si="8"/>
        <v>1</v>
      </c>
      <c r="U44" s="91">
        <f t="shared" si="9"/>
        <v>0</v>
      </c>
      <c r="V44" s="91">
        <f t="shared" si="10"/>
        <v>0</v>
      </c>
      <c r="W44" s="91">
        <f t="shared" si="11"/>
        <v>0</v>
      </c>
      <c r="X44" s="145">
        <f t="shared" si="12"/>
        <v>0</v>
      </c>
      <c r="AS44" s="147"/>
      <c r="AT44" s="147"/>
    </row>
    <row r="45" spans="1:46" ht="12.4" customHeight="1" x14ac:dyDescent="0.2">
      <c r="A45" s="49">
        <v>16.87403678894043</v>
      </c>
      <c r="B45" s="111">
        <v>0</v>
      </c>
      <c r="C45" s="111">
        <f t="shared" si="1"/>
        <v>1</v>
      </c>
      <c r="D45" s="15">
        <f t="shared" si="2"/>
        <v>0</v>
      </c>
      <c r="E45" s="5">
        <f>(2*Table!$AC$16*0.147)/A45</f>
        <v>5.4317224983932801</v>
      </c>
      <c r="F45" s="5">
        <f t="shared" si="3"/>
        <v>10.86344499678656</v>
      </c>
      <c r="G45" s="49">
        <f>IF((('Raw Data'!C45)/('Raw Data'!C$135)*100)&lt;0,0,('Raw Data'!C45)/('Raw Data'!C$135)*100)</f>
        <v>0</v>
      </c>
      <c r="H45" s="49">
        <f t="shared" si="4"/>
        <v>0</v>
      </c>
      <c r="I45" s="85">
        <f t="shared" si="5"/>
        <v>3.7690547610775837E-2</v>
      </c>
      <c r="J45" s="5">
        <f>'Raw Data'!F45/I45</f>
        <v>0</v>
      </c>
      <c r="K45" s="24">
        <f t="shared" si="6"/>
        <v>2.9891931248302882E-2</v>
      </c>
      <c r="L45" s="49">
        <f>A45*Table!$AC$9/$AC$16</f>
        <v>3.7888533528890007</v>
      </c>
      <c r="M45" s="49">
        <f>A45*Table!$AD$9/$AC$16</f>
        <v>1.2990354352762288</v>
      </c>
      <c r="N45" s="49">
        <f>ABS(A45*Table!$AE$9/$AC$16)</f>
        <v>1.6406216274078604</v>
      </c>
      <c r="O45" s="49">
        <f>($L45*(Table!$AC$10/Table!$AC$9)/(Table!$AC$12-Table!$AC$14))</f>
        <v>8.1270985690454776</v>
      </c>
      <c r="P45" s="49">
        <f>ROUND(($N45*(Table!$AE$10/Table!$AE$9)/(Table!$AC$12-Table!$AC$13)),2)</f>
        <v>13.47</v>
      </c>
      <c r="Q45" s="49">
        <f>'Raw Data'!C45</f>
        <v>0</v>
      </c>
      <c r="R45" s="49">
        <f>'Raw Data'!C45/'Raw Data'!I$30*100</f>
        <v>0</v>
      </c>
      <c r="S45" s="54">
        <f t="shared" si="7"/>
        <v>0</v>
      </c>
      <c r="T45" s="54">
        <f t="shared" si="8"/>
        <v>1</v>
      </c>
      <c r="U45" s="91">
        <f t="shared" si="9"/>
        <v>0</v>
      </c>
      <c r="V45" s="91">
        <f t="shared" si="10"/>
        <v>0</v>
      </c>
      <c r="W45" s="91">
        <f t="shared" si="11"/>
        <v>0</v>
      </c>
      <c r="X45" s="145">
        <f t="shared" si="12"/>
        <v>0</v>
      </c>
      <c r="AS45" s="147"/>
      <c r="AT45" s="147"/>
    </row>
    <row r="46" spans="1:46" ht="12.4" customHeight="1" x14ac:dyDescent="0.2">
      <c r="A46" s="49">
        <v>18.469144821166992</v>
      </c>
      <c r="B46" s="111">
        <v>0</v>
      </c>
      <c r="C46" s="111">
        <f t="shared" si="1"/>
        <v>1</v>
      </c>
      <c r="D46" s="15">
        <f t="shared" si="2"/>
        <v>0</v>
      </c>
      <c r="E46" s="5">
        <f>(2*Table!$AC$16*0.147)/A46</f>
        <v>4.9626058029584676</v>
      </c>
      <c r="F46" s="5">
        <f t="shared" si="3"/>
        <v>9.9252116059169353</v>
      </c>
      <c r="G46" s="49">
        <f>IF((('Raw Data'!C46)/('Raw Data'!C$135)*100)&lt;0,0,('Raw Data'!C46)/('Raw Data'!C$135)*100)</f>
        <v>0</v>
      </c>
      <c r="H46" s="49">
        <f t="shared" si="4"/>
        <v>0</v>
      </c>
      <c r="I46" s="85">
        <f t="shared" si="5"/>
        <v>3.9227795095576168E-2</v>
      </c>
      <c r="J46" s="5">
        <f>'Raw Data'!F46/I46</f>
        <v>0</v>
      </c>
      <c r="K46" s="24">
        <f t="shared" si="6"/>
        <v>3.2717624959257875E-2</v>
      </c>
      <c r="L46" s="49">
        <f>A46*Table!$AC$9/$AC$16</f>
        <v>4.1470148581479496</v>
      </c>
      <c r="M46" s="49">
        <f>A46*Table!$AD$9/$AC$16</f>
        <v>1.4218336656507256</v>
      </c>
      <c r="N46" s="49">
        <f>ABS(A46*Table!$AE$9/$AC$16)</f>
        <v>1.7957101085138225</v>
      </c>
      <c r="O46" s="49">
        <f>($L46*(Table!$AC$10/Table!$AC$9)/(Table!$AC$12-Table!$AC$14))</f>
        <v>8.8953557660831191</v>
      </c>
      <c r="P46" s="49">
        <f>ROUND(($N46*(Table!$AE$10/Table!$AE$9)/(Table!$AC$12-Table!$AC$13)),2)</f>
        <v>14.74</v>
      </c>
      <c r="Q46" s="49">
        <f>'Raw Data'!C46</f>
        <v>0</v>
      </c>
      <c r="R46" s="49">
        <f>'Raw Data'!C46/'Raw Data'!I$30*100</f>
        <v>0</v>
      </c>
      <c r="S46" s="54">
        <f t="shared" si="7"/>
        <v>0</v>
      </c>
      <c r="T46" s="54">
        <f t="shared" si="8"/>
        <v>1</v>
      </c>
      <c r="U46" s="91">
        <f t="shared" si="9"/>
        <v>0</v>
      </c>
      <c r="V46" s="91">
        <f t="shared" si="10"/>
        <v>0</v>
      </c>
      <c r="W46" s="91">
        <f t="shared" si="11"/>
        <v>0</v>
      </c>
      <c r="X46" s="145">
        <f t="shared" si="12"/>
        <v>0</v>
      </c>
      <c r="AS46" s="147"/>
      <c r="AT46" s="147"/>
    </row>
    <row r="47" spans="1:46" ht="12.4" customHeight="1" x14ac:dyDescent="0.2">
      <c r="A47" s="49">
        <v>20.256845474243164</v>
      </c>
      <c r="B47" s="111">
        <v>0</v>
      </c>
      <c r="C47" s="111">
        <f t="shared" si="1"/>
        <v>1</v>
      </c>
      <c r="D47" s="15">
        <f t="shared" si="2"/>
        <v>0</v>
      </c>
      <c r="E47" s="5">
        <f>(2*Table!$AC$16*0.147)/A47</f>
        <v>4.5246475015936829</v>
      </c>
      <c r="F47" s="5">
        <f t="shared" si="3"/>
        <v>9.0492950031873658</v>
      </c>
      <c r="G47" s="49">
        <f>IF((('Raw Data'!C47)/('Raw Data'!C$135)*100)&lt;0,0,('Raw Data'!C47)/('Raw Data'!C$135)*100)</f>
        <v>0</v>
      </c>
      <c r="H47" s="49">
        <f t="shared" si="4"/>
        <v>0</v>
      </c>
      <c r="I47" s="85">
        <f t="shared" si="5"/>
        <v>4.0125028449690459E-2</v>
      </c>
      <c r="J47" s="5">
        <f>'Raw Data'!F47/I47</f>
        <v>0</v>
      </c>
      <c r="K47" s="24">
        <f t="shared" si="6"/>
        <v>3.5884491648165609E-2</v>
      </c>
      <c r="L47" s="49">
        <f>A47*Table!$AC$9/$AC$16</f>
        <v>4.5484206212199423</v>
      </c>
      <c r="M47" s="49">
        <f>A47*Table!$AD$9/$AC$16</f>
        <v>1.5594584987039801</v>
      </c>
      <c r="N47" s="49">
        <f>ABS(A47*Table!$AE$9/$AC$16)</f>
        <v>1.9695239025367339</v>
      </c>
      <c r="O47" s="49">
        <f>($L47*(Table!$AC$10/Table!$AC$9)/(Table!$AC$12-Table!$AC$14))</f>
        <v>9.7563719888887661</v>
      </c>
      <c r="P47" s="49">
        <f>ROUND(($N47*(Table!$AE$10/Table!$AE$9)/(Table!$AC$12-Table!$AC$13)),2)</f>
        <v>16.170000000000002</v>
      </c>
      <c r="Q47" s="49">
        <f>'Raw Data'!C47</f>
        <v>0</v>
      </c>
      <c r="R47" s="49">
        <f>'Raw Data'!C47/'Raw Data'!I$30*100</f>
        <v>0</v>
      </c>
      <c r="S47" s="54">
        <f t="shared" si="7"/>
        <v>0</v>
      </c>
      <c r="T47" s="54">
        <f t="shared" si="8"/>
        <v>1</v>
      </c>
      <c r="U47" s="91">
        <f t="shared" si="9"/>
        <v>0</v>
      </c>
      <c r="V47" s="91">
        <f t="shared" si="10"/>
        <v>0</v>
      </c>
      <c r="W47" s="91">
        <f t="shared" si="11"/>
        <v>0</v>
      </c>
      <c r="X47" s="145">
        <f t="shared" si="12"/>
        <v>0</v>
      </c>
      <c r="AS47" s="147"/>
      <c r="AT47" s="147"/>
    </row>
    <row r="48" spans="1:46" ht="12.4" customHeight="1" x14ac:dyDescent="0.2">
      <c r="A48" s="49">
        <v>22.157611846923828</v>
      </c>
      <c r="B48" s="111">
        <v>0</v>
      </c>
      <c r="C48" s="111">
        <f t="shared" si="1"/>
        <v>1</v>
      </c>
      <c r="D48" s="15">
        <f t="shared" si="2"/>
        <v>0</v>
      </c>
      <c r="E48" s="5">
        <f>(2*Table!$AC$16*0.147)/A48</f>
        <v>4.1365055899707999</v>
      </c>
      <c r="F48" s="5">
        <f t="shared" si="3"/>
        <v>8.2730111799415997</v>
      </c>
      <c r="G48" s="49">
        <f>IF((('Raw Data'!C48)/('Raw Data'!C$135)*100)&lt;0,0,('Raw Data'!C48)/('Raw Data'!C$135)*100)</f>
        <v>0</v>
      </c>
      <c r="H48" s="49">
        <f t="shared" si="4"/>
        <v>0</v>
      </c>
      <c r="I48" s="85">
        <f t="shared" si="5"/>
        <v>3.8951135037728402E-2</v>
      </c>
      <c r="J48" s="5">
        <f>'Raw Data'!F48/I48</f>
        <v>0</v>
      </c>
      <c r="K48" s="24">
        <f t="shared" si="6"/>
        <v>3.9251651412122966E-2</v>
      </c>
      <c r="L48" s="49">
        <f>A48*Table!$AC$9/$AC$16</f>
        <v>4.9752138737337654</v>
      </c>
      <c r="M48" s="49">
        <f>A48*Table!$AD$9/$AC$16</f>
        <v>1.7057876138515768</v>
      </c>
      <c r="N48" s="49">
        <f>ABS(A48*Table!$AE$9/$AC$16)</f>
        <v>2.154330801957113</v>
      </c>
      <c r="O48" s="49">
        <f>($L48*(Table!$AC$10/Table!$AC$9)/(Table!$AC$12-Table!$AC$14))</f>
        <v>10.671844431003359</v>
      </c>
      <c r="P48" s="49">
        <f>ROUND(($N48*(Table!$AE$10/Table!$AE$9)/(Table!$AC$12-Table!$AC$13)),2)</f>
        <v>17.690000000000001</v>
      </c>
      <c r="Q48" s="49">
        <f>'Raw Data'!C48</f>
        <v>0</v>
      </c>
      <c r="R48" s="49">
        <f>'Raw Data'!C48/'Raw Data'!I$30*100</f>
        <v>0</v>
      </c>
      <c r="S48" s="54">
        <f t="shared" si="7"/>
        <v>0</v>
      </c>
      <c r="T48" s="54">
        <f t="shared" si="8"/>
        <v>1</v>
      </c>
      <c r="U48" s="91">
        <f t="shared" si="9"/>
        <v>0</v>
      </c>
      <c r="V48" s="91">
        <f t="shared" si="10"/>
        <v>0</v>
      </c>
      <c r="W48" s="91">
        <f t="shared" si="11"/>
        <v>0</v>
      </c>
      <c r="X48" s="145">
        <f t="shared" si="12"/>
        <v>0</v>
      </c>
      <c r="AS48" s="147"/>
      <c r="AT48" s="147"/>
    </row>
    <row r="49" spans="1:46" ht="12.4" customHeight="1" x14ac:dyDescent="0.2">
      <c r="A49" s="49">
        <v>24.253019332885742</v>
      </c>
      <c r="B49" s="111">
        <v>0</v>
      </c>
      <c r="C49" s="111">
        <f t="shared" si="1"/>
        <v>1</v>
      </c>
      <c r="D49" s="15">
        <f t="shared" si="2"/>
        <v>0</v>
      </c>
      <c r="E49" s="5">
        <f>(2*Table!$AC$16*0.147)/A49</f>
        <v>3.7791206120437324</v>
      </c>
      <c r="F49" s="5">
        <f t="shared" si="3"/>
        <v>7.5582412240874648</v>
      </c>
      <c r="G49" s="49">
        <f>IF((('Raw Data'!C49)/('Raw Data'!C$135)*100)&lt;0,0,('Raw Data'!C49)/('Raw Data'!C$135)*100)</f>
        <v>0</v>
      </c>
      <c r="H49" s="49">
        <f t="shared" si="4"/>
        <v>0</v>
      </c>
      <c r="I49" s="85">
        <f t="shared" si="5"/>
        <v>3.9242862749993668E-2</v>
      </c>
      <c r="J49" s="5">
        <f>'Raw Data'!F49/I49</f>
        <v>0</v>
      </c>
      <c r="K49" s="24">
        <f t="shared" si="6"/>
        <v>4.2963613006790427E-2</v>
      </c>
      <c r="L49" s="49">
        <f>A49*Table!$AC$9/$AC$16</f>
        <v>5.4457113473471344</v>
      </c>
      <c r="M49" s="49">
        <f>A49*Table!$AD$9/$AC$16</f>
        <v>1.8671010333761602</v>
      </c>
      <c r="N49" s="49">
        <f>ABS(A49*Table!$AE$9/$AC$16)</f>
        <v>2.3580621842399005</v>
      </c>
      <c r="O49" s="49">
        <f>($L49*(Table!$AC$10/Table!$AC$9)/(Table!$AC$12-Table!$AC$14))</f>
        <v>11.681062521122126</v>
      </c>
      <c r="P49" s="49">
        <f>ROUND(($N49*(Table!$AE$10/Table!$AE$9)/(Table!$AC$12-Table!$AC$13)),2)</f>
        <v>19.36</v>
      </c>
      <c r="Q49" s="49">
        <f>'Raw Data'!C49</f>
        <v>0</v>
      </c>
      <c r="R49" s="49">
        <f>'Raw Data'!C49/'Raw Data'!I$30*100</f>
        <v>0</v>
      </c>
      <c r="S49" s="54">
        <f t="shared" si="7"/>
        <v>0</v>
      </c>
      <c r="T49" s="54">
        <f t="shared" si="8"/>
        <v>1</v>
      </c>
      <c r="U49" s="91">
        <f t="shared" si="9"/>
        <v>0</v>
      </c>
      <c r="V49" s="91">
        <f t="shared" si="10"/>
        <v>0</v>
      </c>
      <c r="W49" s="91">
        <f t="shared" si="11"/>
        <v>0</v>
      </c>
      <c r="X49" s="145">
        <f t="shared" si="12"/>
        <v>0</v>
      </c>
      <c r="AS49" s="147"/>
      <c r="AT49" s="147"/>
    </row>
    <row r="50" spans="1:46" ht="12.4" customHeight="1" x14ac:dyDescent="0.2">
      <c r="A50" s="49">
        <v>26.609401702880859</v>
      </c>
      <c r="B50" s="111">
        <v>0</v>
      </c>
      <c r="C50" s="111">
        <f t="shared" si="1"/>
        <v>1</v>
      </c>
      <c r="D50" s="15">
        <f t="shared" si="2"/>
        <v>0</v>
      </c>
      <c r="E50" s="5">
        <f>(2*Table!$AC$16*0.147)/A50</f>
        <v>3.444462460622729</v>
      </c>
      <c r="F50" s="5">
        <f t="shared" si="3"/>
        <v>6.888924921245458</v>
      </c>
      <c r="G50" s="49">
        <f>IF((('Raw Data'!C50)/('Raw Data'!C$135)*100)&lt;0,0,('Raw Data'!C50)/('Raw Data'!C$135)*100)</f>
        <v>0</v>
      </c>
      <c r="H50" s="49">
        <f t="shared" si="4"/>
        <v>0</v>
      </c>
      <c r="I50" s="85">
        <f t="shared" si="5"/>
        <v>4.0269296840801272E-2</v>
      </c>
      <c r="J50" s="5">
        <f>'Raw Data'!F50/I50</f>
        <v>0</v>
      </c>
      <c r="K50" s="24">
        <f t="shared" si="6"/>
        <v>4.7137885036632909E-2</v>
      </c>
      <c r="L50" s="49">
        <f>A50*Table!$AC$9/$AC$16</f>
        <v>5.9748074584268558</v>
      </c>
      <c r="M50" s="49">
        <f>A50*Table!$AD$9/$AC$16</f>
        <v>2.0485054143177792</v>
      </c>
      <c r="N50" s="49">
        <f>ABS(A50*Table!$AE$9/$AC$16)</f>
        <v>2.5871675208591971</v>
      </c>
      <c r="O50" s="49">
        <f>($L50*(Table!$AC$10/Table!$AC$9)/(Table!$AC$12-Table!$AC$14))</f>
        <v>12.815974814300422</v>
      </c>
      <c r="P50" s="49">
        <f>ROUND(($N50*(Table!$AE$10/Table!$AE$9)/(Table!$AC$12-Table!$AC$13)),2)</f>
        <v>21.24</v>
      </c>
      <c r="Q50" s="49">
        <f>'Raw Data'!C50</f>
        <v>0</v>
      </c>
      <c r="R50" s="49">
        <f>'Raw Data'!C50/'Raw Data'!I$30*100</f>
        <v>0</v>
      </c>
      <c r="S50" s="54">
        <f t="shared" si="7"/>
        <v>0</v>
      </c>
      <c r="T50" s="54">
        <f t="shared" si="8"/>
        <v>1</v>
      </c>
      <c r="U50" s="91">
        <f t="shared" si="9"/>
        <v>0</v>
      </c>
      <c r="V50" s="91">
        <f t="shared" si="10"/>
        <v>0</v>
      </c>
      <c r="W50" s="91">
        <f t="shared" si="11"/>
        <v>0</v>
      </c>
      <c r="X50" s="145">
        <f t="shared" si="12"/>
        <v>0</v>
      </c>
      <c r="AS50" s="147"/>
      <c r="AT50" s="147"/>
    </row>
    <row r="51" spans="1:46" ht="12.4" customHeight="1" x14ac:dyDescent="0.2">
      <c r="A51" s="49">
        <v>28.998825073242188</v>
      </c>
      <c r="B51" s="111">
        <v>0</v>
      </c>
      <c r="C51" s="111">
        <f t="shared" si="1"/>
        <v>1</v>
      </c>
      <c r="D51" s="15">
        <f t="shared" si="2"/>
        <v>0</v>
      </c>
      <c r="E51" s="5">
        <f>(2*Table!$AC$16*0.147)/A51</f>
        <v>3.1606482343236615</v>
      </c>
      <c r="F51" s="5">
        <f t="shared" si="3"/>
        <v>6.321296468647323</v>
      </c>
      <c r="G51" s="49">
        <f>IF((('Raw Data'!C51)/('Raw Data'!C$135)*100)&lt;0,0,('Raw Data'!C51)/('Raw Data'!C$135)*100)</f>
        <v>0</v>
      </c>
      <c r="H51" s="49">
        <f t="shared" si="4"/>
        <v>0</v>
      </c>
      <c r="I51" s="85">
        <f t="shared" si="5"/>
        <v>3.7345292425913446E-2</v>
      </c>
      <c r="J51" s="5">
        <f>'Raw Data'!F51/I51</f>
        <v>0</v>
      </c>
      <c r="K51" s="24">
        <f t="shared" si="6"/>
        <v>5.1370688366583095E-2</v>
      </c>
      <c r="L51" s="49">
        <f>A51*Table!$AC$9/$AC$16</f>
        <v>6.5113225117896931</v>
      </c>
      <c r="M51" s="49">
        <f>A51*Table!$AD$9/$AC$16</f>
        <v>2.232453432613609</v>
      </c>
      <c r="N51" s="49">
        <f>ABS(A51*Table!$AE$9/$AC$16)</f>
        <v>2.8194853537216873</v>
      </c>
      <c r="O51" s="49">
        <f>($L51*(Table!$AC$10/Table!$AC$9)/(Table!$AC$12-Table!$AC$14))</f>
        <v>13.966800754589647</v>
      </c>
      <c r="P51" s="49">
        <f>ROUND(($N51*(Table!$AE$10/Table!$AE$9)/(Table!$AC$12-Table!$AC$13)),2)</f>
        <v>23.15</v>
      </c>
      <c r="Q51" s="49">
        <f>'Raw Data'!C51</f>
        <v>0</v>
      </c>
      <c r="R51" s="49">
        <f>'Raw Data'!C51/'Raw Data'!I$30*100</f>
        <v>0</v>
      </c>
      <c r="S51" s="54">
        <f t="shared" si="7"/>
        <v>0</v>
      </c>
      <c r="T51" s="54">
        <f t="shared" si="8"/>
        <v>1</v>
      </c>
      <c r="U51" s="91">
        <f t="shared" si="9"/>
        <v>0</v>
      </c>
      <c r="V51" s="91">
        <f t="shared" si="10"/>
        <v>0</v>
      </c>
      <c r="W51" s="91">
        <f t="shared" si="11"/>
        <v>0</v>
      </c>
      <c r="X51" s="145">
        <f t="shared" si="12"/>
        <v>0</v>
      </c>
      <c r="AS51" s="147"/>
      <c r="AT51" s="147"/>
    </row>
    <row r="52" spans="1:46" ht="12.4" customHeight="1" x14ac:dyDescent="0.2">
      <c r="A52" s="49">
        <v>34.061103820800781</v>
      </c>
      <c r="B52" s="111">
        <v>0</v>
      </c>
      <c r="C52" s="111">
        <f t="shared" si="1"/>
        <v>1</v>
      </c>
      <c r="D52" s="15">
        <f t="shared" si="2"/>
        <v>0</v>
      </c>
      <c r="E52" s="5">
        <f>(2*Table!$AC$16*0.147)/A52</f>
        <v>2.6909017907173864</v>
      </c>
      <c r="F52" s="5">
        <f t="shared" si="3"/>
        <v>5.3818035814347729</v>
      </c>
      <c r="G52" s="49">
        <f>IF((('Raw Data'!C52)/('Raw Data'!C$135)*100)&lt;0,0,('Raw Data'!C52)/('Raw Data'!C$135)*100)</f>
        <v>0</v>
      </c>
      <c r="H52" s="49">
        <f t="shared" si="4"/>
        <v>0</v>
      </c>
      <c r="I52" s="85">
        <f t="shared" si="5"/>
        <v>6.9878315844173755E-2</v>
      </c>
      <c r="J52" s="5">
        <f>'Raw Data'!F52/I52</f>
        <v>0</v>
      </c>
      <c r="K52" s="24">
        <f t="shared" si="6"/>
        <v>6.0338387689186514E-2</v>
      </c>
      <c r="L52" s="49">
        <f>A52*Table!$AC$9/$AC$16</f>
        <v>7.6479937212845783</v>
      </c>
      <c r="M52" s="49">
        <f>A52*Table!$AD$9/$AC$16</f>
        <v>2.6221692758689983</v>
      </c>
      <c r="N52" s="49">
        <f>ABS(A52*Table!$AE$9/$AC$16)</f>
        <v>3.3116784253081644</v>
      </c>
      <c r="O52" s="49">
        <f>($L52*(Table!$AC$10/Table!$AC$9)/(Table!$AC$12-Table!$AC$14))</f>
        <v>16.404962937118359</v>
      </c>
      <c r="P52" s="49">
        <f>ROUND(($N52*(Table!$AE$10/Table!$AE$9)/(Table!$AC$12-Table!$AC$13)),2)</f>
        <v>27.19</v>
      </c>
      <c r="Q52" s="49">
        <f>'Raw Data'!C52</f>
        <v>0</v>
      </c>
      <c r="R52" s="49">
        <f>'Raw Data'!C52/'Raw Data'!I$30*100</f>
        <v>0</v>
      </c>
      <c r="S52" s="54">
        <f t="shared" si="7"/>
        <v>0</v>
      </c>
      <c r="T52" s="54">
        <f t="shared" si="8"/>
        <v>1</v>
      </c>
      <c r="U52" s="91">
        <f t="shared" si="9"/>
        <v>0</v>
      </c>
      <c r="V52" s="91">
        <f t="shared" si="10"/>
        <v>0</v>
      </c>
      <c r="W52" s="91">
        <f t="shared" si="11"/>
        <v>0</v>
      </c>
      <c r="X52" s="145">
        <f t="shared" si="12"/>
        <v>0</v>
      </c>
      <c r="AS52" s="147"/>
      <c r="AT52" s="147"/>
    </row>
    <row r="53" spans="1:46" ht="12.4" customHeight="1" x14ac:dyDescent="0.2">
      <c r="A53" s="49">
        <v>35.878890991210938</v>
      </c>
      <c r="B53" s="111">
        <v>0</v>
      </c>
      <c r="C53" s="111">
        <f t="shared" si="1"/>
        <v>1</v>
      </c>
      <c r="D53" s="15">
        <f t="shared" si="2"/>
        <v>0</v>
      </c>
      <c r="E53" s="5">
        <f>(2*Table!$AC$16*0.147)/A53</f>
        <v>2.5545685146080994</v>
      </c>
      <c r="F53" s="5">
        <f t="shared" si="3"/>
        <v>5.1091370292161988</v>
      </c>
      <c r="G53" s="49">
        <f>IF((('Raw Data'!C53)/('Raw Data'!C$135)*100)&lt;0,0,('Raw Data'!C53)/('Raw Data'!C$135)*100)</f>
        <v>0</v>
      </c>
      <c r="H53" s="49">
        <f t="shared" si="4"/>
        <v>0</v>
      </c>
      <c r="I53" s="85">
        <f t="shared" si="5"/>
        <v>2.2580292561482029E-2</v>
      </c>
      <c r="J53" s="5">
        <f>'Raw Data'!F53/I53</f>
        <v>0</v>
      </c>
      <c r="K53" s="24">
        <f t="shared" si="6"/>
        <v>6.3558551885910392E-2</v>
      </c>
      <c r="L53" s="49">
        <f>A53*Table!$AC$9/$AC$16</f>
        <v>8.0561550345253554</v>
      </c>
      <c r="M53" s="49">
        <f>A53*Table!$AD$9/$AC$16</f>
        <v>2.7621102975515508</v>
      </c>
      <c r="N53" s="49">
        <f>ABS(A53*Table!$AE$9/$AC$16)</f>
        <v>3.4884174583624303</v>
      </c>
      <c r="O53" s="49">
        <f>($L53*(Table!$AC$10/Table!$AC$9)/(Table!$AC$12-Table!$AC$14))</f>
        <v>17.280469829526719</v>
      </c>
      <c r="P53" s="49">
        <f>ROUND(($N53*(Table!$AE$10/Table!$AE$9)/(Table!$AC$12-Table!$AC$13)),2)</f>
        <v>28.64</v>
      </c>
      <c r="Q53" s="49">
        <f>'Raw Data'!C53</f>
        <v>0</v>
      </c>
      <c r="R53" s="49">
        <f>'Raw Data'!C53/'Raw Data'!I$30*100</f>
        <v>0</v>
      </c>
      <c r="S53" s="54">
        <f t="shared" si="7"/>
        <v>0</v>
      </c>
      <c r="T53" s="54">
        <f t="shared" si="8"/>
        <v>1</v>
      </c>
      <c r="U53" s="91">
        <f t="shared" si="9"/>
        <v>0</v>
      </c>
      <c r="V53" s="91">
        <f t="shared" si="10"/>
        <v>0</v>
      </c>
      <c r="W53" s="91">
        <f t="shared" si="11"/>
        <v>0</v>
      </c>
      <c r="X53" s="145">
        <f t="shared" si="12"/>
        <v>0</v>
      </c>
      <c r="Z53" s="111"/>
      <c r="AS53" s="147"/>
      <c r="AT53" s="147"/>
    </row>
    <row r="54" spans="1:46" ht="12.4" customHeight="1" x14ac:dyDescent="0.2">
      <c r="A54" s="49">
        <v>41.154167175292969</v>
      </c>
      <c r="B54" s="111">
        <v>0</v>
      </c>
      <c r="C54" s="111">
        <f t="shared" si="1"/>
        <v>1</v>
      </c>
      <c r="D54" s="15">
        <f t="shared" si="2"/>
        <v>0</v>
      </c>
      <c r="E54" s="5">
        <f>(2*Table!$AC$16*0.147)/A54</f>
        <v>2.2271155403244087</v>
      </c>
      <c r="F54" s="5">
        <f t="shared" si="3"/>
        <v>4.4542310806488175</v>
      </c>
      <c r="G54" s="49">
        <f>IF((('Raw Data'!C54)/('Raw Data'!C$135)*100)&lt;0,0,('Raw Data'!C54)/('Raw Data'!C$135)*100)</f>
        <v>0</v>
      </c>
      <c r="H54" s="49">
        <f t="shared" si="4"/>
        <v>0</v>
      </c>
      <c r="I54" s="85">
        <f t="shared" si="5"/>
        <v>5.9574806793799173E-2</v>
      </c>
      <c r="J54" s="5">
        <f>'Raw Data'!F54/I54</f>
        <v>0</v>
      </c>
      <c r="K54" s="24">
        <f t="shared" si="6"/>
        <v>7.2903570803597106E-2</v>
      </c>
      <c r="L54" s="49">
        <f>A54*Table!$AC$9/$AC$16</f>
        <v>9.240652147307209</v>
      </c>
      <c r="M54" s="49">
        <f>A54*Table!$AD$9/$AC$16</f>
        <v>3.1682235933624714</v>
      </c>
      <c r="N54" s="49">
        <f>ABS(A54*Table!$AE$9/$AC$16)</f>
        <v>4.0013197535516332</v>
      </c>
      <c r="O54" s="49">
        <f>($L54*(Table!$AC$10/Table!$AC$9)/(Table!$AC$12-Table!$AC$14))</f>
        <v>19.821218677192643</v>
      </c>
      <c r="P54" s="49">
        <f>ROUND(($N54*(Table!$AE$10/Table!$AE$9)/(Table!$AC$12-Table!$AC$13)),2)</f>
        <v>32.85</v>
      </c>
      <c r="Q54" s="49">
        <f>'Raw Data'!C54</f>
        <v>0</v>
      </c>
      <c r="R54" s="49">
        <f>'Raw Data'!C54/'Raw Data'!I$30*100</f>
        <v>0</v>
      </c>
      <c r="S54" s="54">
        <f t="shared" si="7"/>
        <v>0</v>
      </c>
      <c r="T54" s="54">
        <f t="shared" si="8"/>
        <v>1</v>
      </c>
      <c r="U54" s="91">
        <f t="shared" si="9"/>
        <v>0</v>
      </c>
      <c r="V54" s="91">
        <f t="shared" si="10"/>
        <v>0</v>
      </c>
      <c r="W54" s="91">
        <f t="shared" si="11"/>
        <v>0</v>
      </c>
      <c r="X54" s="145">
        <f t="shared" si="12"/>
        <v>0</v>
      </c>
      <c r="Z54" s="111"/>
      <c r="AS54" s="147"/>
      <c r="AT54" s="147"/>
    </row>
    <row r="55" spans="1:46" ht="12.4" customHeight="1" x14ac:dyDescent="0.2">
      <c r="A55" s="49">
        <v>44.222831726074219</v>
      </c>
      <c r="B55" s="111">
        <v>0</v>
      </c>
      <c r="C55" s="111">
        <f t="shared" si="1"/>
        <v>1</v>
      </c>
      <c r="D55" s="15">
        <f t="shared" si="2"/>
        <v>0</v>
      </c>
      <c r="E55" s="5">
        <f>(2*Table!$AC$16*0.147)/A55</f>
        <v>2.0725738648518721</v>
      </c>
      <c r="F55" s="5">
        <f t="shared" si="3"/>
        <v>4.1451477297037442</v>
      </c>
      <c r="G55" s="49">
        <f>IF((('Raw Data'!C55)/('Raw Data'!C$135)*100)&lt;0,0,('Raw Data'!C55)/('Raw Data'!C$135)*100)</f>
        <v>0</v>
      </c>
      <c r="H55" s="49">
        <f t="shared" si="4"/>
        <v>0</v>
      </c>
      <c r="I55" s="85">
        <f t="shared" si="5"/>
        <v>3.1232730941102183E-2</v>
      </c>
      <c r="J55" s="5">
        <f>'Raw Data'!F55/I55</f>
        <v>0</v>
      </c>
      <c r="K55" s="24">
        <f t="shared" si="6"/>
        <v>7.8339632779957008E-2</v>
      </c>
      <c r="L55" s="49">
        <f>A55*Table!$AC$9/$AC$16</f>
        <v>9.9296822897411481</v>
      </c>
      <c r="M55" s="49">
        <f>A55*Table!$AD$9/$AC$16</f>
        <v>3.404462499339822</v>
      </c>
      <c r="N55" s="49">
        <f>ABS(A55*Table!$AE$9/$AC$16)</f>
        <v>4.2996785572121334</v>
      </c>
      <c r="O55" s="49">
        <f>($L55*(Table!$AC$10/Table!$AC$9)/(Table!$AC$12-Table!$AC$14))</f>
        <v>21.299189810684577</v>
      </c>
      <c r="P55" s="49">
        <f>ROUND(($N55*(Table!$AE$10/Table!$AE$9)/(Table!$AC$12-Table!$AC$13)),2)</f>
        <v>35.299999999999997</v>
      </c>
      <c r="Q55" s="49">
        <f>'Raw Data'!C55</f>
        <v>0</v>
      </c>
      <c r="R55" s="49">
        <f>'Raw Data'!C55/'Raw Data'!I$30*100</f>
        <v>0</v>
      </c>
      <c r="S55" s="54">
        <f t="shared" si="7"/>
        <v>0</v>
      </c>
      <c r="T55" s="54">
        <f t="shared" si="8"/>
        <v>1</v>
      </c>
      <c r="U55" s="91">
        <f t="shared" si="9"/>
        <v>0</v>
      </c>
      <c r="V55" s="91">
        <f t="shared" si="10"/>
        <v>0</v>
      </c>
      <c r="W55" s="91">
        <f t="shared" si="11"/>
        <v>0</v>
      </c>
      <c r="X55" s="145">
        <f t="shared" si="12"/>
        <v>0</v>
      </c>
      <c r="Z55" s="111"/>
      <c r="AS55" s="147"/>
      <c r="AT55" s="147"/>
    </row>
    <row r="56" spans="1:46" ht="12.4" customHeight="1" x14ac:dyDescent="0.2">
      <c r="A56" s="49">
        <v>48.779834747314453</v>
      </c>
      <c r="B56" s="111">
        <v>0</v>
      </c>
      <c r="C56" s="111">
        <f t="shared" si="1"/>
        <v>1</v>
      </c>
      <c r="D56" s="15">
        <f t="shared" si="2"/>
        <v>0</v>
      </c>
      <c r="E56" s="5">
        <f>(2*Table!$AC$16*0.147)/A56</f>
        <v>1.8789544027770544</v>
      </c>
      <c r="F56" s="5">
        <f t="shared" si="3"/>
        <v>3.7579088055541088</v>
      </c>
      <c r="G56" s="49">
        <f>IF((('Raw Data'!C56)/('Raw Data'!C$135)*100)&lt;0,0,('Raw Data'!C56)/('Raw Data'!C$135)*100)</f>
        <v>0</v>
      </c>
      <c r="H56" s="49">
        <f t="shared" si="4"/>
        <v>0</v>
      </c>
      <c r="I56" s="85">
        <f t="shared" si="5"/>
        <v>4.2593776344186374E-2</v>
      </c>
      <c r="J56" s="5">
        <f>'Raw Data'!F56/I56</f>
        <v>0</v>
      </c>
      <c r="K56" s="24">
        <f t="shared" si="6"/>
        <v>8.6412248877280037E-2</v>
      </c>
      <c r="L56" s="49">
        <f>A56*Table!$AC$9/$AC$16</f>
        <v>10.952900171277813</v>
      </c>
      <c r="M56" s="49">
        <f>A56*Table!$AD$9/$AC$16</f>
        <v>3.7552800587238213</v>
      </c>
      <c r="N56" s="49">
        <f>ABS(A56*Table!$AE$9/$AC$16)</f>
        <v>4.7427448967207573</v>
      </c>
      <c r="O56" s="49">
        <f>($L56*(Table!$AC$10/Table!$AC$9)/(Table!$AC$12-Table!$AC$14))</f>
        <v>23.493994361385273</v>
      </c>
      <c r="P56" s="49">
        <f>ROUND(($N56*(Table!$AE$10/Table!$AE$9)/(Table!$AC$12-Table!$AC$13)),2)</f>
        <v>38.94</v>
      </c>
      <c r="Q56" s="49">
        <f>'Raw Data'!C56</f>
        <v>0</v>
      </c>
      <c r="R56" s="49">
        <f>'Raw Data'!C56/'Raw Data'!I$30*100</f>
        <v>0</v>
      </c>
      <c r="S56" s="54">
        <f t="shared" si="7"/>
        <v>0</v>
      </c>
      <c r="T56" s="54">
        <f t="shared" si="8"/>
        <v>1</v>
      </c>
      <c r="U56" s="91">
        <f t="shared" si="9"/>
        <v>0</v>
      </c>
      <c r="V56" s="91">
        <f t="shared" si="10"/>
        <v>0</v>
      </c>
      <c r="W56" s="91">
        <f t="shared" si="11"/>
        <v>0</v>
      </c>
      <c r="X56" s="145">
        <f t="shared" si="12"/>
        <v>0</v>
      </c>
      <c r="Z56" s="111"/>
      <c r="AS56" s="147"/>
      <c r="AT56" s="147"/>
    </row>
    <row r="57" spans="1:46" ht="12.4" customHeight="1" x14ac:dyDescent="0.2">
      <c r="A57" s="49">
        <v>53.356285095214844</v>
      </c>
      <c r="B57" s="111">
        <v>1.3435442697836894E-4</v>
      </c>
      <c r="C57" s="111">
        <f t="shared" si="1"/>
        <v>0.9998656455730216</v>
      </c>
      <c r="D57" s="15">
        <f t="shared" si="2"/>
        <v>1.3435442697836894E-4</v>
      </c>
      <c r="E57" s="5">
        <f>(2*Table!$AC$16*0.147)/A57</f>
        <v>1.717793603914594</v>
      </c>
      <c r="F57" s="5">
        <f t="shared" si="3"/>
        <v>3.435587207829188</v>
      </c>
      <c r="G57" s="49">
        <f>IF((('Raw Data'!C57)/('Raw Data'!C$135)*100)&lt;0,0,('Raw Data'!C57)/('Raw Data'!C$135)*100)</f>
        <v>1.3435442697836813E-2</v>
      </c>
      <c r="H57" s="49">
        <f t="shared" si="4"/>
        <v>1.3435442697836813E-2</v>
      </c>
      <c r="I57" s="85">
        <f t="shared" si="5"/>
        <v>3.8945259714247671E-2</v>
      </c>
      <c r="J57" s="5">
        <f>'Raw Data'!F57/I57</f>
        <v>3.4498274748753599E-3</v>
      </c>
      <c r="K57" s="24">
        <f t="shared" si="6"/>
        <v>9.4519315424057448E-2</v>
      </c>
      <c r="L57" s="49">
        <f>A57*Table!$AC$9/$AC$16</f>
        <v>11.980484706137727</v>
      </c>
      <c r="M57" s="49">
        <f>A57*Table!$AD$9/$AC$16</f>
        <v>4.1075947563900774</v>
      </c>
      <c r="N57" s="49">
        <f>ABS(A57*Table!$AE$9/$AC$16)</f>
        <v>5.1877020525831083</v>
      </c>
      <c r="O57" s="49">
        <f>($L57*(Table!$AC$10/Table!$AC$9)/(Table!$AC$12-Table!$AC$14))</f>
        <v>25.698165392830816</v>
      </c>
      <c r="P57" s="49">
        <f>ROUND(($N57*(Table!$AE$10/Table!$AE$9)/(Table!$AC$12-Table!$AC$13)),2)</f>
        <v>42.59</v>
      </c>
      <c r="Q57" s="49">
        <f>'Raw Data'!C57</f>
        <v>1.9999999999999879E-4</v>
      </c>
      <c r="R57" s="49">
        <f>'Raw Data'!C57/'Raw Data'!I$30*100</f>
        <v>1.8560404593031281E-3</v>
      </c>
      <c r="S57" s="54">
        <f t="shared" si="7"/>
        <v>1.5060240963855418E-3</v>
      </c>
      <c r="T57" s="54">
        <f t="shared" si="8"/>
        <v>0.99741628536686655</v>
      </c>
      <c r="U57" s="91">
        <f t="shared" si="9"/>
        <v>3.478578870307415E-5</v>
      </c>
      <c r="V57" s="91">
        <f t="shared" si="10"/>
        <v>1.15208210756509E-5</v>
      </c>
      <c r="W57" s="91">
        <f t="shared" si="11"/>
        <v>5.5549978645517474E-4</v>
      </c>
      <c r="X57" s="145">
        <f t="shared" si="12"/>
        <v>5.5549978645517474E-4</v>
      </c>
      <c r="Z57" s="111"/>
      <c r="AS57" s="147"/>
      <c r="AT57" s="147"/>
    </row>
    <row r="58" spans="1:46" ht="12.4" customHeight="1" x14ac:dyDescent="0.2">
      <c r="A58" s="49">
        <v>57.480136871337891</v>
      </c>
      <c r="B58" s="111">
        <v>3.3588606744592236E-4</v>
      </c>
      <c r="C58" s="111">
        <f t="shared" si="1"/>
        <v>0.99966411393255405</v>
      </c>
      <c r="D58" s="15">
        <f t="shared" si="2"/>
        <v>2.0153164046755341E-4</v>
      </c>
      <c r="E58" s="5">
        <f>(2*Table!$AC$16*0.147)/A58</f>
        <v>1.594552314138745</v>
      </c>
      <c r="F58" s="5">
        <f t="shared" si="3"/>
        <v>3.18910462827749</v>
      </c>
      <c r="G58" s="49">
        <f>IF((('Raw Data'!C58)/('Raw Data'!C$135)*100)&lt;0,0,('Raw Data'!C58)/('Raw Data'!C$135)*100)</f>
        <v>3.358860674459227E-2</v>
      </c>
      <c r="H58" s="49">
        <f t="shared" si="4"/>
        <v>2.0153164046755455E-2</v>
      </c>
      <c r="I58" s="85">
        <f t="shared" si="5"/>
        <v>3.2332209178688259E-2</v>
      </c>
      <c r="J58" s="5">
        <f>'Raw Data'!F58/I58</f>
        <v>6.2331540462874993E-3</v>
      </c>
      <c r="K58" s="24">
        <f t="shared" si="6"/>
        <v>0.1018246149983037</v>
      </c>
      <c r="L58" s="49">
        <f>A58*Table!$AC$9/$AC$16</f>
        <v>12.906443907496216</v>
      </c>
      <c r="M58" s="49">
        <f>A58*Table!$AD$9/$AC$16</f>
        <v>4.4250664825701316</v>
      </c>
      <c r="N58" s="49">
        <f>ABS(A58*Table!$AE$9/$AC$16)</f>
        <v>5.5886541482053103</v>
      </c>
      <c r="O58" s="49">
        <f>($L58*(Table!$AC$10/Table!$AC$9)/(Table!$AC$12-Table!$AC$14))</f>
        <v>27.684349865929253</v>
      </c>
      <c r="P58" s="49">
        <f>ROUND(($N58*(Table!$AE$10/Table!$AE$9)/(Table!$AC$12-Table!$AC$13)),2)</f>
        <v>45.88</v>
      </c>
      <c r="Q58" s="49">
        <f>'Raw Data'!C58</f>
        <v>5.0000000000000044E-4</v>
      </c>
      <c r="R58" s="49">
        <f>'Raw Data'!C58/'Raw Data'!I$30*100</f>
        <v>4.6401011482578528E-3</v>
      </c>
      <c r="S58" s="54">
        <f t="shared" si="7"/>
        <v>2.2590361445783127E-3</v>
      </c>
      <c r="T58" s="54">
        <f t="shared" si="8"/>
        <v>0.99407686273919382</v>
      </c>
      <c r="U58" s="91">
        <f t="shared" si="9"/>
        <v>8.0725297482226593E-5</v>
      </c>
      <c r="V58" s="91">
        <f t="shared" si="10"/>
        <v>4.7832845904399707E-5</v>
      </c>
      <c r="W58" s="91">
        <f t="shared" si="11"/>
        <v>7.1797733881548182E-4</v>
      </c>
      <c r="X58" s="145">
        <f t="shared" si="12"/>
        <v>1.2734771252706566E-3</v>
      </c>
      <c r="Z58" s="111"/>
      <c r="AS58" s="147"/>
      <c r="AT58" s="147"/>
    </row>
    <row r="59" spans="1:46" ht="12.4" customHeight="1" x14ac:dyDescent="0.2">
      <c r="A59" s="49">
        <v>64.225112915039062</v>
      </c>
      <c r="B59" s="111">
        <v>6.7177213489184472E-4</v>
      </c>
      <c r="C59" s="111">
        <f t="shared" si="1"/>
        <v>0.99932822786510811</v>
      </c>
      <c r="D59" s="15">
        <f t="shared" si="2"/>
        <v>3.3588606744592236E-4</v>
      </c>
      <c r="E59" s="5">
        <f>(2*Table!$AC$16*0.147)/A59</f>
        <v>1.4270910724041954</v>
      </c>
      <c r="F59" s="5">
        <f t="shared" si="3"/>
        <v>2.8541821448083908</v>
      </c>
      <c r="G59" s="49">
        <f>IF((('Raw Data'!C59)/('Raw Data'!C$135)*100)&lt;0,0,('Raw Data'!C59)/('Raw Data'!C$135)*100)</f>
        <v>6.717721348918454E-2</v>
      </c>
      <c r="H59" s="49">
        <f t="shared" si="4"/>
        <v>3.358860674459227E-2</v>
      </c>
      <c r="I59" s="85">
        <f t="shared" si="5"/>
        <v>4.818708287536419E-2</v>
      </c>
      <c r="J59" s="5">
        <f>'Raw Data'!F59/I59</f>
        <v>6.9704586250778338E-3</v>
      </c>
      <c r="K59" s="24">
        <f t="shared" si="6"/>
        <v>0.11377317020720967</v>
      </c>
      <c r="L59" s="49">
        <f>A59*Table!$AC$9/$AC$16</f>
        <v>14.420943693053333</v>
      </c>
      <c r="M59" s="49">
        <f>A59*Table!$AD$9/$AC$16</f>
        <v>4.9443235519039996</v>
      </c>
      <c r="N59" s="49">
        <f>ABS(A59*Table!$AE$9/$AC$16)</f>
        <v>6.2444517923645844</v>
      </c>
      <c r="O59" s="49">
        <f>($L59*(Table!$AC$10/Table!$AC$9)/(Table!$AC$12-Table!$AC$14))</f>
        <v>30.932955154554559</v>
      </c>
      <c r="P59" s="49">
        <f>ROUND(($N59*(Table!$AE$10/Table!$AE$9)/(Table!$AC$12-Table!$AC$13)),2)</f>
        <v>51.27</v>
      </c>
      <c r="Q59" s="49">
        <f>'Raw Data'!C59</f>
        <v>1.0000000000000009E-3</v>
      </c>
      <c r="R59" s="49">
        <f>'Raw Data'!C59/'Raw Data'!I$30*100</f>
        <v>9.2802022965157056E-3</v>
      </c>
      <c r="S59" s="54">
        <f t="shared" si="7"/>
        <v>3.7650602409638545E-3</v>
      </c>
      <c r="T59" s="54">
        <f t="shared" si="8"/>
        <v>0.98961880212124154</v>
      </c>
      <c r="U59" s="91">
        <f t="shared" si="9"/>
        <v>1.4449491601193647E-4</v>
      </c>
      <c r="V59" s="91">
        <f t="shared" si="10"/>
        <v>1.2802169894841005E-4</v>
      </c>
      <c r="W59" s="91">
        <f t="shared" si="11"/>
        <v>9.584850004403972E-4</v>
      </c>
      <c r="X59" s="145">
        <f t="shared" si="12"/>
        <v>2.2319621257110536E-3</v>
      </c>
      <c r="Z59" s="111"/>
      <c r="AS59" s="147"/>
      <c r="AT59" s="147"/>
    </row>
    <row r="60" spans="1:46" ht="12.4" customHeight="1" x14ac:dyDescent="0.2">
      <c r="A60" s="49">
        <v>69.889259338378906</v>
      </c>
      <c r="B60" s="111">
        <v>1.007658202337767E-3</v>
      </c>
      <c r="C60" s="111">
        <f t="shared" si="1"/>
        <v>0.99899234179766228</v>
      </c>
      <c r="D60" s="15">
        <f t="shared" si="2"/>
        <v>3.358860674459223E-4</v>
      </c>
      <c r="E60" s="5">
        <f>(2*Table!$AC$16*0.147)/A60</f>
        <v>1.3114330604283893</v>
      </c>
      <c r="F60" s="5">
        <f t="shared" si="3"/>
        <v>2.6228661208567785</v>
      </c>
      <c r="G60" s="49">
        <f>IF((('Raw Data'!C60)/('Raw Data'!C$135)*100)&lt;0,0,('Raw Data'!C60)/('Raw Data'!C$135)*100)</f>
        <v>0.10076582023377678</v>
      </c>
      <c r="H60" s="49">
        <f t="shared" si="4"/>
        <v>3.3588606744592242E-2</v>
      </c>
      <c r="I60" s="85">
        <f t="shared" si="5"/>
        <v>3.6705561521033103E-2</v>
      </c>
      <c r="J60" s="5">
        <f>'Raw Data'!F60/I60</f>
        <v>9.1508222058788655E-3</v>
      </c>
      <c r="K60" s="24">
        <f t="shared" si="6"/>
        <v>0.12380706296118102</v>
      </c>
      <c r="L60" s="49">
        <f>A60*Table!$AC$9/$AC$16</f>
        <v>15.692756741451516</v>
      </c>
      <c r="M60" s="49">
        <f>A60*Table!$AD$9/$AC$16</f>
        <v>5.3803737399262337</v>
      </c>
      <c r="N60" s="49">
        <f>ABS(A60*Table!$AE$9/$AC$16)</f>
        <v>6.7951629967532616</v>
      </c>
      <c r="O60" s="49">
        <f>($L60*(Table!$AC$10/Table!$AC$9)/(Table!$AC$12-Table!$AC$14))</f>
        <v>33.660996871410376</v>
      </c>
      <c r="P60" s="49">
        <f>ROUND(($N60*(Table!$AE$10/Table!$AE$9)/(Table!$AC$12-Table!$AC$13)),2)</f>
        <v>55.79</v>
      </c>
      <c r="Q60" s="49">
        <f>'Raw Data'!C60</f>
        <v>1.5000000000000013E-3</v>
      </c>
      <c r="R60" s="49">
        <f>'Raw Data'!C60/'Raw Data'!I$30*100</f>
        <v>1.3920303444773558E-2</v>
      </c>
      <c r="S60" s="54">
        <f t="shared" si="7"/>
        <v>3.7650602409638541E-3</v>
      </c>
      <c r="T60" s="54">
        <f t="shared" si="8"/>
        <v>0.98585406335193881</v>
      </c>
      <c r="U60" s="91">
        <f t="shared" si="9"/>
        <v>1.9917657700987225E-4</v>
      </c>
      <c r="V60" s="91">
        <f t="shared" si="10"/>
        <v>2.2028493678834534E-4</v>
      </c>
      <c r="W60" s="91">
        <f t="shared" si="11"/>
        <v>8.0942049698069026E-4</v>
      </c>
      <c r="X60" s="145">
        <f t="shared" si="12"/>
        <v>3.0413826226917441E-3</v>
      </c>
      <c r="Z60" s="111"/>
      <c r="AS60" s="147"/>
      <c r="AT60" s="147"/>
    </row>
    <row r="61" spans="1:46" ht="12.4" customHeight="1" x14ac:dyDescent="0.2">
      <c r="A61" s="49">
        <v>76.796829223632812</v>
      </c>
      <c r="B61" s="111">
        <v>2.0824936181647186E-3</v>
      </c>
      <c r="C61" s="111">
        <f t="shared" si="1"/>
        <v>0.9979175063818353</v>
      </c>
      <c r="D61" s="15">
        <f t="shared" si="2"/>
        <v>1.0748354158269515E-3</v>
      </c>
      <c r="E61" s="5">
        <f>(2*Table!$AC$16*0.147)/A61</f>
        <v>1.1934748633736361</v>
      </c>
      <c r="F61" s="5">
        <f t="shared" si="3"/>
        <v>2.3869497267472721</v>
      </c>
      <c r="G61" s="49">
        <f>IF((('Raw Data'!C61)/('Raw Data'!C$135)*100)&lt;0,0,('Raw Data'!C61)/('Raw Data'!C$135)*100)</f>
        <v>0.20824936181647177</v>
      </c>
      <c r="H61" s="49">
        <f t="shared" si="4"/>
        <v>0.10748354158269499</v>
      </c>
      <c r="I61" s="85">
        <f t="shared" si="5"/>
        <v>4.093285131488697E-2</v>
      </c>
      <c r="J61" s="5">
        <f>'Raw Data'!F61/I61</f>
        <v>2.625850340985262E-2</v>
      </c>
      <c r="K61" s="24">
        <f t="shared" si="6"/>
        <v>0.13604364906594693</v>
      </c>
      <c r="L61" s="49">
        <f>A61*Table!$AC$9/$AC$16</f>
        <v>17.243764935128848</v>
      </c>
      <c r="M61" s="49">
        <f>A61*Table!$AD$9/$AC$16</f>
        <v>5.9121479777584618</v>
      </c>
      <c r="N61" s="49">
        <f>ABS(A61*Table!$AE$9/$AC$16)</f>
        <v>7.4667692453544534</v>
      </c>
      <c r="O61" s="49">
        <f>($L61*(Table!$AC$10/Table!$AC$9)/(Table!$AC$12-Table!$AC$14))</f>
        <v>36.987912773764158</v>
      </c>
      <c r="P61" s="49">
        <f>ROUND(($N61*(Table!$AE$10/Table!$AE$9)/(Table!$AC$12-Table!$AC$13)),2)</f>
        <v>61.3</v>
      </c>
      <c r="Q61" s="49">
        <f>'Raw Data'!C61</f>
        <v>3.0999999999999986E-3</v>
      </c>
      <c r="R61" s="49">
        <f>'Raw Data'!C61/'Raw Data'!I$30*100</f>
        <v>2.8768627119198645E-2</v>
      </c>
      <c r="S61" s="54">
        <f t="shared" si="7"/>
        <v>1.2048192771084335E-2</v>
      </c>
      <c r="T61" s="54">
        <f t="shared" si="8"/>
        <v>0.97587662341407855</v>
      </c>
      <c r="U61" s="91">
        <f t="shared" si="9"/>
        <v>3.7460696502747838E-4</v>
      </c>
      <c r="V61" s="91">
        <f t="shared" si="10"/>
        <v>6.4104667880564498E-4</v>
      </c>
      <c r="W61" s="91">
        <f t="shared" si="11"/>
        <v>2.1451539902179505E-3</v>
      </c>
      <c r="X61" s="145">
        <f t="shared" si="12"/>
        <v>5.1865366129096946E-3</v>
      </c>
      <c r="Z61" s="111"/>
      <c r="AS61" s="147"/>
      <c r="AT61" s="147"/>
    </row>
    <row r="62" spans="1:46" ht="12.4" customHeight="1" x14ac:dyDescent="0.2">
      <c r="A62" s="49">
        <v>84.046318054199219</v>
      </c>
      <c r="B62" s="111">
        <v>3.0229746070133011E-3</v>
      </c>
      <c r="C62" s="111">
        <f t="shared" si="1"/>
        <v>0.99697702539298672</v>
      </c>
      <c r="D62" s="15">
        <f t="shared" si="2"/>
        <v>9.4048098884858249E-4</v>
      </c>
      <c r="E62" s="5">
        <f>(2*Table!$AC$16*0.147)/A62</f>
        <v>1.0905306429497332</v>
      </c>
      <c r="F62" s="5">
        <f t="shared" si="3"/>
        <v>2.1810612858994665</v>
      </c>
      <c r="G62" s="49">
        <f>IF((('Raw Data'!C62)/('Raw Data'!C$135)*100)&lt;0,0,('Raw Data'!C62)/('Raw Data'!C$135)*100)</f>
        <v>0.30229746070133012</v>
      </c>
      <c r="H62" s="49">
        <f t="shared" si="4"/>
        <v>9.404809888485835E-2</v>
      </c>
      <c r="I62" s="85">
        <f t="shared" si="5"/>
        <v>3.91754030746106E-2</v>
      </c>
      <c r="J62" s="5">
        <f>'Raw Data'!F62/I62</f>
        <v>2.4006925648152558E-2</v>
      </c>
      <c r="K62" s="24">
        <f t="shared" si="6"/>
        <v>0.14888593597210448</v>
      </c>
      <c r="L62" s="49">
        <f>A62*Table!$AC$9/$AC$16</f>
        <v>18.871546740157591</v>
      </c>
      <c r="M62" s="49">
        <f>A62*Table!$AD$9/$AC$16</f>
        <v>6.4702445966254603</v>
      </c>
      <c r="N62" s="49">
        <f>ABS(A62*Table!$AE$9/$AC$16)</f>
        <v>8.1716194428409423</v>
      </c>
      <c r="O62" s="49">
        <f>($L62*(Table!$AC$10/Table!$AC$9)/(Table!$AC$12-Table!$AC$14))</f>
        <v>40.479508237146277</v>
      </c>
      <c r="P62" s="49">
        <f>ROUND(($N62*(Table!$AE$10/Table!$AE$9)/(Table!$AC$12-Table!$AC$13)),2)</f>
        <v>67.09</v>
      </c>
      <c r="Q62" s="49">
        <f>'Raw Data'!C62</f>
        <v>4.5000000000000005E-3</v>
      </c>
      <c r="R62" s="49">
        <f>'Raw Data'!C62/'Raw Data'!I$30*100</f>
        <v>4.1760910334320646E-2</v>
      </c>
      <c r="S62" s="54">
        <f t="shared" si="7"/>
        <v>1.0542168674698793E-2</v>
      </c>
      <c r="T62" s="54">
        <f t="shared" si="8"/>
        <v>0.96858748211634538</v>
      </c>
      <c r="U62" s="91">
        <f t="shared" si="9"/>
        <v>4.9687971229614306E-4</v>
      </c>
      <c r="V62" s="91">
        <f t="shared" si="10"/>
        <v>1.0335554572197614E-3</v>
      </c>
      <c r="W62" s="91">
        <f t="shared" si="11"/>
        <v>1.5671685961006227E-3</v>
      </c>
      <c r="X62" s="145">
        <f t="shared" si="12"/>
        <v>6.7537052090103173E-3</v>
      </c>
      <c r="Z62" s="111"/>
      <c r="AS62" s="147"/>
      <c r="AT62" s="147"/>
    </row>
    <row r="63" spans="1:46" x14ac:dyDescent="0.2">
      <c r="A63" s="49">
        <v>92.575828552246094</v>
      </c>
      <c r="B63" s="111">
        <v>5.9115947870482339E-3</v>
      </c>
      <c r="C63" s="111">
        <f t="shared" si="1"/>
        <v>0.99408840521295172</v>
      </c>
      <c r="D63" s="15">
        <f t="shared" si="2"/>
        <v>2.8886201800349329E-3</v>
      </c>
      <c r="E63" s="5">
        <f>(2*Table!$AC$16*0.147)/A63</f>
        <v>0.99005417179147548</v>
      </c>
      <c r="F63" s="5">
        <f t="shared" si="3"/>
        <v>1.980108343582951</v>
      </c>
      <c r="G63" s="49">
        <f>IF((('Raw Data'!C63)/('Raw Data'!C$135)*100)&lt;0,0,('Raw Data'!C63)/('Raw Data'!C$135)*100)</f>
        <v>0.59115947870482333</v>
      </c>
      <c r="H63" s="49">
        <f t="shared" si="4"/>
        <v>0.2888620180034932</v>
      </c>
      <c r="I63" s="85">
        <f t="shared" si="5"/>
        <v>4.1978915279244307E-2</v>
      </c>
      <c r="J63" s="5">
        <f>'Raw Data'!F63/I63</f>
        <v>6.8811215364184414E-2</v>
      </c>
      <c r="K63" s="24">
        <f t="shared" si="6"/>
        <v>0.16399574902859865</v>
      </c>
      <c r="L63" s="49">
        <f>A63*Table!$AC$9/$AC$16</f>
        <v>20.78674135856734</v>
      </c>
      <c r="M63" s="49">
        <f>A63*Table!$AD$9/$AC$16</f>
        <v>7.1268827515088029</v>
      </c>
      <c r="N63" s="49">
        <f>ABS(A63*Table!$AE$9/$AC$16)</f>
        <v>9.0009230392079864</v>
      </c>
      <c r="O63" s="49">
        <f>($L63*(Table!$AC$10/Table!$AC$9)/(Table!$AC$12-Table!$AC$14))</f>
        <v>44.58760480173175</v>
      </c>
      <c r="P63" s="49">
        <f>ROUND(($N63*(Table!$AE$10/Table!$AE$9)/(Table!$AC$12-Table!$AC$13)),2)</f>
        <v>73.900000000000006</v>
      </c>
      <c r="Q63" s="49">
        <f>'Raw Data'!C63</f>
        <v>8.7999999999999988E-3</v>
      </c>
      <c r="R63" s="49">
        <f>'Raw Data'!C63/'Raw Data'!I$30*100</f>
        <v>8.1665780209338124E-2</v>
      </c>
      <c r="S63" s="54">
        <f t="shared" si="7"/>
        <v>3.2379518072289157E-2</v>
      </c>
      <c r="T63" s="54">
        <f t="shared" si="8"/>
        <v>0.95013482302542773</v>
      </c>
      <c r="U63" s="91">
        <f t="shared" si="9"/>
        <v>8.8215014098684758E-4</v>
      </c>
      <c r="V63" s="91">
        <f t="shared" si="10"/>
        <v>2.7282569894903738E-3</v>
      </c>
      <c r="W63" s="91">
        <f t="shared" si="11"/>
        <v>3.9673298486928923E-3</v>
      </c>
      <c r="X63" s="145">
        <f t="shared" si="12"/>
        <v>1.0721035057703211E-2</v>
      </c>
      <c r="AS63" s="147"/>
      <c r="AT63" s="147"/>
    </row>
    <row r="64" spans="1:46" x14ac:dyDescent="0.2">
      <c r="A64" s="49">
        <v>100.6356201171875</v>
      </c>
      <c r="B64" s="111">
        <v>9.5391643154641957E-3</v>
      </c>
      <c r="C64" s="111">
        <f t="shared" si="1"/>
        <v>0.9904608356845358</v>
      </c>
      <c r="D64" s="15">
        <f t="shared" si="2"/>
        <v>3.6275695284159618E-3</v>
      </c>
      <c r="E64" s="5">
        <f>(2*Table!$AC$16*0.147)/A64</f>
        <v>0.91076186700567585</v>
      </c>
      <c r="F64" s="5">
        <f t="shared" si="3"/>
        <v>1.8215237340113517</v>
      </c>
      <c r="G64" s="49">
        <f>IF((('Raw Data'!C64)/('Raw Data'!C$135)*100)&lt;0,0,('Raw Data'!C64)/('Raw Data'!C$135)*100)</f>
        <v>0.95391643154641959</v>
      </c>
      <c r="H64" s="49">
        <f t="shared" si="4"/>
        <v>0.36275695284159626</v>
      </c>
      <c r="I64" s="85">
        <f t="shared" si="5"/>
        <v>3.6254119396706801E-2</v>
      </c>
      <c r="J64" s="5">
        <f>'Raw Data'!F64/I64</f>
        <v>0.10005951292656355</v>
      </c>
      <c r="K64" s="24">
        <f t="shared" si="6"/>
        <v>0.17827346682359513</v>
      </c>
      <c r="L64" s="49">
        <f>A64*Table!$AC$9/$AC$16</f>
        <v>22.596466481036526</v>
      </c>
      <c r="M64" s="49">
        <f>A64*Table!$AD$9/$AC$16</f>
        <v>7.7473599363553802</v>
      </c>
      <c r="N64" s="49">
        <f>ABS(A64*Table!$AE$9/$AC$16)</f>
        <v>9.7845570041705958</v>
      </c>
      <c r="O64" s="49">
        <f>($L64*(Table!$AC$10/Table!$AC$9)/(Table!$AC$12-Table!$AC$14))</f>
        <v>48.469469071292423</v>
      </c>
      <c r="P64" s="49">
        <f>ROUND(($N64*(Table!$AE$10/Table!$AE$9)/(Table!$AC$12-Table!$AC$13)),2)</f>
        <v>80.33</v>
      </c>
      <c r="Q64" s="49">
        <f>'Raw Data'!C64</f>
        <v>1.4200000000000001E-2</v>
      </c>
      <c r="R64" s="49">
        <f>'Raw Data'!C64/'Raw Data'!I$30*100</f>
        <v>0.1317788726105229</v>
      </c>
      <c r="S64" s="54">
        <f t="shared" si="7"/>
        <v>4.0662650602409638E-2</v>
      </c>
      <c r="T64" s="54">
        <f t="shared" si="8"/>
        <v>0.93052489391215287</v>
      </c>
      <c r="U64" s="91">
        <f t="shared" si="9"/>
        <v>1.3094654999598542E-3</v>
      </c>
      <c r="V64" s="91">
        <f t="shared" si="10"/>
        <v>5.3208247177786699E-3</v>
      </c>
      <c r="W64" s="91">
        <f t="shared" si="11"/>
        <v>4.2161434142648606E-3</v>
      </c>
      <c r="X64" s="145">
        <f t="shared" si="12"/>
        <v>1.4937178471968071E-2</v>
      </c>
      <c r="AS64" s="147"/>
      <c r="AT64" s="147"/>
    </row>
    <row r="65" spans="1:46" x14ac:dyDescent="0.2">
      <c r="A65" s="49">
        <v>110.51468658447266</v>
      </c>
      <c r="B65" s="111">
        <v>1.6324062877871824E-2</v>
      </c>
      <c r="C65" s="111">
        <f t="shared" si="1"/>
        <v>0.9836759371221282</v>
      </c>
      <c r="D65" s="15">
        <f t="shared" si="2"/>
        <v>6.7848985624076284E-3</v>
      </c>
      <c r="E65" s="5">
        <f>(2*Table!$AC$16*0.147)/A65</f>
        <v>0.82934755640053726</v>
      </c>
      <c r="F65" s="5">
        <f t="shared" si="3"/>
        <v>1.6586951128010745</v>
      </c>
      <c r="G65" s="49">
        <f>IF((('Raw Data'!C65)/('Raw Data'!C$135)*100)&lt;0,0,('Raw Data'!C65)/('Raw Data'!C$135)*100)</f>
        <v>1.6324062877871823</v>
      </c>
      <c r="H65" s="49">
        <f t="shared" si="4"/>
        <v>0.67848985624076275</v>
      </c>
      <c r="I65" s="85">
        <f t="shared" si="5"/>
        <v>4.0668269316423179E-2</v>
      </c>
      <c r="J65" s="5">
        <f>'Raw Data'!F65/I65</f>
        <v>0.16683519304982236</v>
      </c>
      <c r="K65" s="24">
        <f t="shared" si="6"/>
        <v>0.19577398429497164</v>
      </c>
      <c r="L65" s="49">
        <f>A65*Table!$AC$9/$AC$16</f>
        <v>24.814686968295344</v>
      </c>
      <c r="M65" s="49">
        <f>A65*Table!$AD$9/$AC$16</f>
        <v>8.5078926748441184</v>
      </c>
      <c r="N65" s="49">
        <f>ABS(A65*Table!$AE$9/$AC$16)</f>
        <v>10.745074650751212</v>
      </c>
      <c r="O65" s="49">
        <f>($L65*(Table!$AC$10/Table!$AC$9)/(Table!$AC$12-Table!$AC$14))</f>
        <v>53.227556774550301</v>
      </c>
      <c r="P65" s="49">
        <f>ROUND(($N65*(Table!$AE$10/Table!$AE$9)/(Table!$AC$12-Table!$AC$13)),2)</f>
        <v>88.22</v>
      </c>
      <c r="Q65" s="49">
        <f>'Raw Data'!C65</f>
        <v>2.4299999999999999E-2</v>
      </c>
      <c r="R65" s="49">
        <f>'Raw Data'!C65/'Raw Data'!I$30*100</f>
        <v>0.22550891580533144</v>
      </c>
      <c r="S65" s="54">
        <f t="shared" si="7"/>
        <v>7.6054216867469826E-2</v>
      </c>
      <c r="T65" s="54">
        <f t="shared" si="8"/>
        <v>0.90011134508336244</v>
      </c>
      <c r="U65" s="91">
        <f t="shared" si="9"/>
        <v>2.0405334600751201E-3</v>
      </c>
      <c r="V65" s="91">
        <f t="shared" si="10"/>
        <v>1.1265475495195552E-2</v>
      </c>
      <c r="W65" s="91">
        <f t="shared" si="11"/>
        <v>6.5389264213160511E-3</v>
      </c>
      <c r="X65" s="145">
        <f t="shared" si="12"/>
        <v>2.1476104893284123E-2</v>
      </c>
      <c r="AS65" s="147"/>
      <c r="AT65" s="147"/>
    </row>
    <row r="66" spans="1:46" x14ac:dyDescent="0.2">
      <c r="A66" s="49">
        <v>120.59219360351562</v>
      </c>
      <c r="B66" s="111">
        <v>2.8012898024989925E-2</v>
      </c>
      <c r="C66" s="111">
        <f t="shared" si="1"/>
        <v>0.97198710197501004</v>
      </c>
      <c r="D66" s="15">
        <f t="shared" si="2"/>
        <v>1.1688835147118101E-2</v>
      </c>
      <c r="E66" s="5">
        <f>(2*Table!$AC$16*0.147)/A66</f>
        <v>0.76004161236628853</v>
      </c>
      <c r="F66" s="5">
        <f t="shared" si="3"/>
        <v>1.5200832247325771</v>
      </c>
      <c r="G66" s="49">
        <f>IF((('Raw Data'!C66)/('Raw Data'!C$135)*100)&lt;0,0,('Raw Data'!C66)/('Raw Data'!C$135)*100)</f>
        <v>2.8012898024989923</v>
      </c>
      <c r="H66" s="49">
        <f t="shared" si="4"/>
        <v>1.16888351471181</v>
      </c>
      <c r="I66" s="85">
        <f t="shared" si="5"/>
        <v>3.7899198780992446E-2</v>
      </c>
      <c r="J66" s="5">
        <f>'Raw Data'!F66/I66</f>
        <v>0.30841905694798993</v>
      </c>
      <c r="K66" s="24">
        <f t="shared" si="6"/>
        <v>0.21362603420664175</v>
      </c>
      <c r="L66" s="49">
        <f>A66*Table!$AC$9/$AC$16</f>
        <v>27.077464792916938</v>
      </c>
      <c r="M66" s="49">
        <f>A66*Table!$AD$9/$AC$16</f>
        <v>9.2837022147143795</v>
      </c>
      <c r="N66" s="49">
        <f>ABS(A66*Table!$AE$9/$AC$16)</f>
        <v>11.724886190372407</v>
      </c>
      <c r="O66" s="49">
        <f>($L66*(Table!$AC$10/Table!$AC$9)/(Table!$AC$12-Table!$AC$14))</f>
        <v>58.081220062026908</v>
      </c>
      <c r="P66" s="49">
        <f>ROUND(($N66*(Table!$AE$10/Table!$AE$9)/(Table!$AC$12-Table!$AC$13)),2)</f>
        <v>96.26</v>
      </c>
      <c r="Q66" s="49">
        <f>'Raw Data'!C66</f>
        <v>4.1700000000000001E-2</v>
      </c>
      <c r="R66" s="49">
        <f>'Raw Data'!C66/'Raw Data'!I$30*100</f>
        <v>0.38698443576470459</v>
      </c>
      <c r="S66" s="54">
        <f t="shared" si="7"/>
        <v>0.13102409638554216</v>
      </c>
      <c r="T66" s="54">
        <f t="shared" si="8"/>
        <v>0.85610689723131306</v>
      </c>
      <c r="U66" s="91">
        <f t="shared" si="9"/>
        <v>3.2090338868620001E-3</v>
      </c>
      <c r="V66" s="91">
        <f t="shared" si="10"/>
        <v>2.4224333808730708E-2</v>
      </c>
      <c r="W66" s="91">
        <f t="shared" si="11"/>
        <v>9.4609757097074993E-3</v>
      </c>
      <c r="X66" s="145">
        <f t="shared" si="12"/>
        <v>3.0937080602991621E-2</v>
      </c>
      <c r="AS66" s="147"/>
      <c r="AT66" s="147"/>
    </row>
    <row r="67" spans="1:46" x14ac:dyDescent="0.2">
      <c r="A67" s="49">
        <v>132.11007690429687</v>
      </c>
      <c r="B67" s="111">
        <v>5.0853150611312646E-2</v>
      </c>
      <c r="C67" s="111">
        <f t="shared" si="1"/>
        <v>0.94914684938868732</v>
      </c>
      <c r="D67" s="15">
        <f t="shared" si="2"/>
        <v>2.2840252586322721E-2</v>
      </c>
      <c r="E67" s="5">
        <f>(2*Table!$AC$16*0.147)/A67</f>
        <v>0.69377815389207875</v>
      </c>
      <c r="F67" s="5">
        <f t="shared" si="3"/>
        <v>1.3875563077841575</v>
      </c>
      <c r="G67" s="49">
        <f>IF((('Raw Data'!C67)/('Raw Data'!C$135)*100)&lt;0,0,('Raw Data'!C67)/('Raw Data'!C$135)*100)</f>
        <v>5.085315061131265</v>
      </c>
      <c r="H67" s="49">
        <f t="shared" si="4"/>
        <v>2.2840252586322727</v>
      </c>
      <c r="I67" s="85">
        <f t="shared" si="5"/>
        <v>3.961675021200331E-2</v>
      </c>
      <c r="J67" s="5">
        <f>'Raw Data'!F67/I67</f>
        <v>0.57653019149971696</v>
      </c>
      <c r="K67" s="24">
        <f t="shared" si="6"/>
        <v>0.23402967442974384</v>
      </c>
      <c r="L67" s="49">
        <f>A67*Table!$AC$9/$AC$16</f>
        <v>29.663661048631603</v>
      </c>
      <c r="M67" s="49">
        <f>A67*Table!$AD$9/$AC$16</f>
        <v>10.17039807381655</v>
      </c>
      <c r="N67" s="49">
        <f>ABS(A67*Table!$AE$9/$AC$16)</f>
        <v>12.844742018682956</v>
      </c>
      <c r="O67" s="49">
        <f>($L67*(Table!$AC$10/Table!$AC$9)/(Table!$AC$12-Table!$AC$14))</f>
        <v>63.628616577931375</v>
      </c>
      <c r="P67" s="49">
        <f>ROUND(($N67*(Table!$AE$10/Table!$AE$9)/(Table!$AC$12-Table!$AC$13)),2)</f>
        <v>105.46</v>
      </c>
      <c r="Q67" s="49">
        <f>'Raw Data'!C67</f>
        <v>7.5700000000000003E-2</v>
      </c>
      <c r="R67" s="49">
        <f>'Raw Data'!C67/'Raw Data'!I$30*100</f>
        <v>0.70251131384623833</v>
      </c>
      <c r="S67" s="54">
        <f t="shared" si="7"/>
        <v>0.25602409638554213</v>
      </c>
      <c r="T67" s="54">
        <f t="shared" si="8"/>
        <v>0.78446076597356029</v>
      </c>
      <c r="U67" s="91">
        <f t="shared" si="9"/>
        <v>5.3176209590366924E-3</v>
      </c>
      <c r="V67" s="91">
        <f t="shared" si="10"/>
        <v>5.6906382811470237E-2</v>
      </c>
      <c r="W67" s="91">
        <f t="shared" si="11"/>
        <v>1.5403949841687338E-2</v>
      </c>
      <c r="X67" s="145">
        <f t="shared" si="12"/>
        <v>4.6341030444678959E-2</v>
      </c>
      <c r="AS67" s="147"/>
      <c r="AT67" s="147"/>
    </row>
    <row r="68" spans="1:46" x14ac:dyDescent="0.2">
      <c r="A68" s="49">
        <v>144.09347534179687</v>
      </c>
      <c r="B68" s="111">
        <v>9.7406959559317483E-2</v>
      </c>
      <c r="C68" s="111">
        <f t="shared" si="1"/>
        <v>0.90259304044068256</v>
      </c>
      <c r="D68" s="15">
        <f t="shared" si="2"/>
        <v>4.6553808948004836E-2</v>
      </c>
      <c r="E68" s="5">
        <f>(2*Table!$AC$16*0.147)/A68</f>
        <v>0.63608074583386398</v>
      </c>
      <c r="F68" s="5">
        <f t="shared" si="3"/>
        <v>1.272161491667728</v>
      </c>
      <c r="G68" s="49">
        <f>IF((('Raw Data'!C68)/('Raw Data'!C$135)*100)&lt;0,0,('Raw Data'!C68)/('Raw Data'!C$135)*100)</f>
        <v>9.7406959559317485</v>
      </c>
      <c r="H68" s="49">
        <f t="shared" si="4"/>
        <v>4.6553808948004836</v>
      </c>
      <c r="I68" s="85">
        <f t="shared" si="5"/>
        <v>3.7708370712712352E-2</v>
      </c>
      <c r="J68" s="5">
        <f>'Raw Data'!F68/I68</f>
        <v>1.2345749250924407</v>
      </c>
      <c r="K68" s="24">
        <f t="shared" si="6"/>
        <v>0.25525796299490483</v>
      </c>
      <c r="L68" s="49">
        <f>A68*Table!$AC$9/$AC$16</f>
        <v>32.354382890525706</v>
      </c>
      <c r="M68" s="49">
        <f>A68*Table!$AD$9/$AC$16</f>
        <v>11.092931276751672</v>
      </c>
      <c r="N68" s="49">
        <f>ABS(A68*Table!$AE$9/$AC$16)</f>
        <v>14.009858753481932</v>
      </c>
      <c r="O68" s="49">
        <f>($L68*(Table!$AC$10/Table!$AC$9)/(Table!$AC$12-Table!$AC$14))</f>
        <v>69.40022070039835</v>
      </c>
      <c r="P68" s="49">
        <f>ROUND(($N68*(Table!$AE$10/Table!$AE$9)/(Table!$AC$12-Table!$AC$13)),2)</f>
        <v>115.02</v>
      </c>
      <c r="Q68" s="49">
        <f>'Raw Data'!C68</f>
        <v>0.14499999999999999</v>
      </c>
      <c r="R68" s="49">
        <f>'Raw Data'!C68/'Raw Data'!I$30*100</f>
        <v>1.3456293329947759</v>
      </c>
      <c r="S68" s="54">
        <f t="shared" si="7"/>
        <v>0.52183734939759019</v>
      </c>
      <c r="T68" s="54">
        <f t="shared" si="8"/>
        <v>0.66170827312330738</v>
      </c>
      <c r="U68" s="91">
        <f t="shared" si="9"/>
        <v>9.3385861490457942E-3</v>
      </c>
      <c r="V68" s="91">
        <f t="shared" si="10"/>
        <v>0.14747495955222095</v>
      </c>
      <c r="W68" s="91">
        <f t="shared" si="11"/>
        <v>2.6391840140046238E-2</v>
      </c>
      <c r="X68" s="145">
        <f t="shared" si="12"/>
        <v>7.273287058472519E-2</v>
      </c>
      <c r="AS68" s="147"/>
      <c r="AT68" s="147"/>
    </row>
    <row r="69" spans="1:46" x14ac:dyDescent="0.2">
      <c r="A69" s="49">
        <v>158.19163513183594</v>
      </c>
      <c r="B69" s="111">
        <v>0.17083165390299612</v>
      </c>
      <c r="C69" s="111">
        <f t="shared" si="1"/>
        <v>0.82916834609700385</v>
      </c>
      <c r="D69" s="15">
        <f t="shared" si="2"/>
        <v>7.342469434367864E-2</v>
      </c>
      <c r="E69" s="5">
        <f>(2*Table!$AC$16*0.147)/A69</f>
        <v>0.57939274215617564</v>
      </c>
      <c r="F69" s="5">
        <f t="shared" si="3"/>
        <v>1.1587854843123513</v>
      </c>
      <c r="G69" s="49">
        <f>IF((('Raw Data'!C69)/('Raw Data'!C$135)*100)&lt;0,0,('Raw Data'!C69)/('Raw Data'!C$135)*100)</f>
        <v>17.083165390299612</v>
      </c>
      <c r="H69" s="49">
        <f t="shared" si="4"/>
        <v>7.3424694343678638</v>
      </c>
      <c r="I69" s="85">
        <f t="shared" si="5"/>
        <v>4.0539199028645168E-2</v>
      </c>
      <c r="J69" s="5">
        <f>'Raw Data'!F69/I69</f>
        <v>1.8112023942998094</v>
      </c>
      <c r="K69" s="24">
        <f t="shared" si="6"/>
        <v>0.28023249804200417</v>
      </c>
      <c r="L69" s="49">
        <f>A69*Table!$AC$9/$AC$16</f>
        <v>35.519947874066823</v>
      </c>
      <c r="M69" s="49">
        <f>A69*Table!$AD$9/$AC$16</f>
        <v>12.178267842537197</v>
      </c>
      <c r="N69" s="49">
        <f>ABS(A69*Table!$AE$9/$AC$16)</f>
        <v>15.380588600020468</v>
      </c>
      <c r="O69" s="49">
        <f>($L69*(Table!$AC$10/Table!$AC$9)/(Table!$AC$12-Table!$AC$14))</f>
        <v>76.190364380237725</v>
      </c>
      <c r="P69" s="49">
        <f>ROUND(($N69*(Table!$AE$10/Table!$AE$9)/(Table!$AC$12-Table!$AC$13)),2)</f>
        <v>126.28</v>
      </c>
      <c r="Q69" s="49">
        <f>'Raw Data'!C69</f>
        <v>0.25430000000000003</v>
      </c>
      <c r="R69" s="49">
        <f>'Raw Data'!C69/'Raw Data'!I$30*100</f>
        <v>2.3599554440039419</v>
      </c>
      <c r="S69" s="54">
        <f t="shared" si="7"/>
        <v>0.82304216867469882</v>
      </c>
      <c r="T69" s="54">
        <f t="shared" si="8"/>
        <v>0.50107376425508665</v>
      </c>
      <c r="U69" s="91">
        <f t="shared" si="9"/>
        <v>1.491833270474238E-2</v>
      </c>
      <c r="V69" s="91">
        <f t="shared" si="10"/>
        <v>0.32563711876129586</v>
      </c>
      <c r="W69" s="91">
        <f t="shared" si="11"/>
        <v>3.4536490303269496E-2</v>
      </c>
      <c r="X69" s="145">
        <f t="shared" si="12"/>
        <v>0.10726936088799469</v>
      </c>
      <c r="AS69" s="147"/>
      <c r="AT69" s="147"/>
    </row>
    <row r="70" spans="1:46" x14ac:dyDescent="0.2">
      <c r="A70" s="49">
        <v>173.4166259765625</v>
      </c>
      <c r="B70" s="111">
        <v>0.26004299341663312</v>
      </c>
      <c r="C70" s="111">
        <f t="shared" si="1"/>
        <v>0.73995700658336694</v>
      </c>
      <c r="D70" s="15">
        <f t="shared" si="2"/>
        <v>8.9211339513636995E-2</v>
      </c>
      <c r="E70" s="5">
        <f>(2*Table!$AC$16*0.147)/A70</f>
        <v>0.5285253634077216</v>
      </c>
      <c r="F70" s="5">
        <f t="shared" si="3"/>
        <v>1.0570507268154432</v>
      </c>
      <c r="G70" s="49">
        <f>IF((('Raw Data'!C70)/('Raw Data'!C$135)*100)&lt;0,0,('Raw Data'!C70)/('Raw Data'!C$135)*100)</f>
        <v>26.004299341663312</v>
      </c>
      <c r="H70" s="49">
        <f t="shared" si="4"/>
        <v>8.9211339513637</v>
      </c>
      <c r="I70" s="85">
        <f t="shared" si="5"/>
        <v>3.990721714677925E-2</v>
      </c>
      <c r="J70" s="5">
        <f>'Raw Data'!F70/I70</f>
        <v>2.235468817219616</v>
      </c>
      <c r="K70" s="24">
        <f t="shared" si="6"/>
        <v>0.30720318592653523</v>
      </c>
      <c r="L70" s="49">
        <f>A70*Table!$AC$9/$AC$16</f>
        <v>38.938528639965988</v>
      </c>
      <c r="M70" s="49">
        <f>A70*Table!$AD$9/$AC$16</f>
        <v>13.350352676559766</v>
      </c>
      <c r="N70" s="49">
        <f>ABS(A70*Table!$AE$9/$AC$16)</f>
        <v>16.860877494099238</v>
      </c>
      <c r="O70" s="49">
        <f>($L70*(Table!$AC$10/Table!$AC$9)/(Table!$AC$12-Table!$AC$14))</f>
        <v>83.523227455954512</v>
      </c>
      <c r="P70" s="49">
        <f>ROUND(($N70*(Table!$AE$10/Table!$AE$9)/(Table!$AC$12-Table!$AC$13)),2)</f>
        <v>138.43</v>
      </c>
      <c r="Q70" s="49">
        <f>'Raw Data'!C70</f>
        <v>0.3871</v>
      </c>
      <c r="R70" s="49">
        <f>'Raw Data'!C70/'Raw Data'!I$30*100</f>
        <v>3.5923663089812266</v>
      </c>
      <c r="S70" s="54">
        <f t="shared" si="7"/>
        <v>1</v>
      </c>
      <c r="T70" s="54">
        <f t="shared" si="8"/>
        <v>0.33866766754736799</v>
      </c>
      <c r="U70" s="91">
        <f t="shared" si="9"/>
        <v>2.0715235859027379E-2</v>
      </c>
      <c r="V70" s="91">
        <f t="shared" si="10"/>
        <v>0.56730823382757023</v>
      </c>
      <c r="W70" s="91">
        <f t="shared" si="11"/>
        <v>3.4917382470658023E-2</v>
      </c>
      <c r="X70" s="145">
        <f t="shared" si="12"/>
        <v>0.14218674335865272</v>
      </c>
      <c r="AS70" s="147"/>
      <c r="AT70" s="147"/>
    </row>
    <row r="71" spans="1:46" x14ac:dyDescent="0.2">
      <c r="A71" s="49">
        <v>189.05926513671875</v>
      </c>
      <c r="B71" s="111">
        <v>0.34831385194142145</v>
      </c>
      <c r="C71" s="111">
        <f t="shared" si="1"/>
        <v>0.6516861480585785</v>
      </c>
      <c r="D71" s="15">
        <f t="shared" si="2"/>
        <v>8.8270858524788332E-2</v>
      </c>
      <c r="E71" s="5">
        <f>(2*Table!$AC$16*0.147)/A71</f>
        <v>0.48479552271042098</v>
      </c>
      <c r="F71" s="5">
        <f t="shared" si="3"/>
        <v>0.96959104542084196</v>
      </c>
      <c r="G71" s="49">
        <f>IF((('Raw Data'!C71)/('Raw Data'!C$135)*100)&lt;0,0,('Raw Data'!C71)/('Raw Data'!C$135)*100)</f>
        <v>34.831385194142143</v>
      </c>
      <c r="H71" s="49">
        <f t="shared" si="4"/>
        <v>8.8270858524788309</v>
      </c>
      <c r="I71" s="85">
        <f t="shared" si="5"/>
        <v>3.7507233219342462E-2</v>
      </c>
      <c r="J71" s="5">
        <f>'Raw Data'!F71/I71</f>
        <v>2.3534356162338068</v>
      </c>
      <c r="K71" s="24">
        <f t="shared" si="6"/>
        <v>0.33491372728459762</v>
      </c>
      <c r="L71" s="49">
        <f>A71*Table!$AC$9/$AC$16</f>
        <v>42.450887097595754</v>
      </c>
      <c r="M71" s="49">
        <f>A71*Table!$AD$9/$AC$16</f>
        <v>14.554589862032829</v>
      </c>
      <c r="N71" s="49">
        <f>ABS(A71*Table!$AE$9/$AC$16)</f>
        <v>18.38177331985149</v>
      </c>
      <c r="O71" s="49">
        <f>($L71*(Table!$AC$10/Table!$AC$9)/(Table!$AC$12-Table!$AC$14))</f>
        <v>91.057243881586786</v>
      </c>
      <c r="P71" s="49">
        <f>ROUND(($N71*(Table!$AE$10/Table!$AE$9)/(Table!$AC$12-Table!$AC$13)),2)</f>
        <v>150.91999999999999</v>
      </c>
      <c r="Q71" s="49">
        <f>'Raw Data'!C71</f>
        <v>0.51849999999999996</v>
      </c>
      <c r="R71" s="49">
        <f>'Raw Data'!C71/'Raw Data'!I$30*100</f>
        <v>4.8117848907433887</v>
      </c>
      <c r="S71" s="54">
        <f t="shared" si="7"/>
        <v>0.9894578313253003</v>
      </c>
      <c r="T71" s="54">
        <f t="shared" si="8"/>
        <v>0.20346503361678703</v>
      </c>
      <c r="U71" s="91">
        <f t="shared" si="9"/>
        <v>2.5451198529010111E-2</v>
      </c>
      <c r="V71" s="91">
        <f t="shared" si="10"/>
        <v>0.80357335368893268</v>
      </c>
      <c r="W71" s="91">
        <f t="shared" si="11"/>
        <v>2.9068625967230054E-2</v>
      </c>
      <c r="X71" s="145">
        <f t="shared" si="12"/>
        <v>0.17125536932588278</v>
      </c>
      <c r="AS71" s="147"/>
      <c r="AT71" s="147"/>
    </row>
    <row r="72" spans="1:46" x14ac:dyDescent="0.2">
      <c r="A72" s="49">
        <v>207.76878356933594</v>
      </c>
      <c r="B72" s="111">
        <v>0.40877334408168753</v>
      </c>
      <c r="C72" s="111">
        <f t="shared" si="1"/>
        <v>0.59122665591831247</v>
      </c>
      <c r="D72" s="15">
        <f t="shared" si="2"/>
        <v>6.045949214026608E-2</v>
      </c>
      <c r="E72" s="5">
        <f>(2*Table!$AC$16*0.147)/A72</f>
        <v>0.44113982712237804</v>
      </c>
      <c r="F72" s="5">
        <f t="shared" si="3"/>
        <v>0.88227965424475607</v>
      </c>
      <c r="G72" s="49">
        <f>IF((('Raw Data'!C72)/('Raw Data'!C$135)*100)&lt;0,0,('Raw Data'!C72)/('Raw Data'!C$135)*100)</f>
        <v>40.87733440816875</v>
      </c>
      <c r="H72" s="49">
        <f t="shared" si="4"/>
        <v>6.0459492140266065</v>
      </c>
      <c r="I72" s="85">
        <f t="shared" si="5"/>
        <v>4.0982331628161395E-2</v>
      </c>
      <c r="J72" s="5">
        <f>'Raw Data'!F72/I72</f>
        <v>1.4752575009353732</v>
      </c>
      <c r="K72" s="24">
        <f t="shared" si="6"/>
        <v>0.36805716804343258</v>
      </c>
      <c r="L72" s="49">
        <f>A72*Table!$AC$9/$AC$16</f>
        <v>46.651874835800832</v>
      </c>
      <c r="M72" s="49">
        <f>A72*Table!$AD$9/$AC$16</f>
        <v>15.994928515131715</v>
      </c>
      <c r="N72" s="49">
        <f>ABS(A72*Table!$AE$9/$AC$16)</f>
        <v>20.200854370987759</v>
      </c>
      <c r="O72" s="49">
        <f>($L72*(Table!$AC$10/Table!$AC$9)/(Table!$AC$12-Table!$AC$14))</f>
        <v>100.06837159116439</v>
      </c>
      <c r="P72" s="49">
        <f>ROUND(($N72*(Table!$AE$10/Table!$AE$9)/(Table!$AC$12-Table!$AC$13)),2)</f>
        <v>165.85</v>
      </c>
      <c r="Q72" s="49">
        <f>'Raw Data'!C72</f>
        <v>0.60850000000000004</v>
      </c>
      <c r="R72" s="49">
        <f>'Raw Data'!C72/'Raw Data'!I$30*100</f>
        <v>5.6470030974298018</v>
      </c>
      <c r="S72" s="54">
        <f t="shared" si="7"/>
        <v>0.67771084337349452</v>
      </c>
      <c r="T72" s="54">
        <f t="shared" si="8"/>
        <v>0.12678758859091233</v>
      </c>
      <c r="U72" s="91">
        <f t="shared" si="9"/>
        <v>2.7179266299864061E-2</v>
      </c>
      <c r="V72" s="91">
        <f t="shared" si="10"/>
        <v>0.89798461316350597</v>
      </c>
      <c r="W72" s="91">
        <f t="shared" si="11"/>
        <v>1.6485684522421457E-2</v>
      </c>
      <c r="X72" s="145">
        <f t="shared" si="12"/>
        <v>0.18774105384830425</v>
      </c>
      <c r="AS72" s="147"/>
      <c r="AT72" s="147"/>
    </row>
    <row r="73" spans="1:46" x14ac:dyDescent="0.2">
      <c r="A73" s="49">
        <v>227.29307556152344</v>
      </c>
      <c r="B73" s="111">
        <v>0.43745801424156927</v>
      </c>
      <c r="C73" s="111">
        <f t="shared" si="1"/>
        <v>0.56254198575843073</v>
      </c>
      <c r="D73" s="15">
        <f t="shared" si="2"/>
        <v>2.8684670159881742E-2</v>
      </c>
      <c r="E73" s="5">
        <f>(2*Table!$AC$16*0.147)/A73</f>
        <v>0.40324627153190395</v>
      </c>
      <c r="F73" s="5">
        <f t="shared" si="3"/>
        <v>0.80649254306380791</v>
      </c>
      <c r="G73" s="49">
        <f>IF((('Raw Data'!C73)/('Raw Data'!C$135)*100)&lt;0,0,('Raw Data'!C73)/('Raw Data'!C$135)*100)</f>
        <v>43.74580142415693</v>
      </c>
      <c r="H73" s="49">
        <f t="shared" si="4"/>
        <v>2.8684670159881804</v>
      </c>
      <c r="I73" s="85">
        <f t="shared" si="5"/>
        <v>3.9005908121633182E-2</v>
      </c>
      <c r="J73" s="5">
        <f>'Raw Data'!F73/I73</f>
        <v>0.73539295817529893</v>
      </c>
      <c r="K73" s="24">
        <f t="shared" si="6"/>
        <v>0.40264395964535526</v>
      </c>
      <c r="L73" s="49">
        <f>A73*Table!$AC$9/$AC$16</f>
        <v>51.035809759177788</v>
      </c>
      <c r="M73" s="49">
        <f>A73*Table!$AD$9/$AC$16</f>
        <v>17.497991917432383</v>
      </c>
      <c r="N73" s="49">
        <f>ABS(A73*Table!$AE$9/$AC$16)</f>
        <v>22.099153877078869</v>
      </c>
      <c r="O73" s="49">
        <f>($L73*(Table!$AC$10/Table!$AC$9)/(Table!$AC$12-Table!$AC$14))</f>
        <v>109.47192140535776</v>
      </c>
      <c r="P73" s="49">
        <f>ROUND(($N73*(Table!$AE$10/Table!$AE$9)/(Table!$AC$12-Table!$AC$13)),2)</f>
        <v>181.44</v>
      </c>
      <c r="Q73" s="49">
        <f>'Raw Data'!C73</f>
        <v>0.6512</v>
      </c>
      <c r="R73" s="49">
        <f>'Raw Data'!C73/'Raw Data'!I$30*100</f>
        <v>6.043267735491022</v>
      </c>
      <c r="S73" s="54">
        <f t="shared" si="7"/>
        <v>0.32153614457831287</v>
      </c>
      <c r="T73" s="54">
        <f t="shared" si="8"/>
        <v>9.6389856528691031E-2</v>
      </c>
      <c r="U73" s="91">
        <f t="shared" si="9"/>
        <v>2.6587997547049061E-2</v>
      </c>
      <c r="V73" s="91">
        <f t="shared" si="10"/>
        <v>0.86519957229331124</v>
      </c>
      <c r="W73" s="91">
        <f t="shared" si="11"/>
        <v>6.5355258095228762E-3</v>
      </c>
      <c r="X73" s="145">
        <f t="shared" si="12"/>
        <v>0.19427657965782713</v>
      </c>
      <c r="AS73" s="147"/>
      <c r="AT73" s="147"/>
    </row>
    <row r="74" spans="1:46" x14ac:dyDescent="0.2">
      <c r="A74" s="49">
        <v>249.35258483886719</v>
      </c>
      <c r="B74" s="111">
        <v>0.46090286174929468</v>
      </c>
      <c r="C74" s="111">
        <f t="shared" si="1"/>
        <v>0.53909713825070527</v>
      </c>
      <c r="D74" s="15">
        <f t="shared" si="2"/>
        <v>2.3444847507725408E-2</v>
      </c>
      <c r="E74" s="5">
        <f>(2*Table!$AC$16*0.147)/A74</f>
        <v>0.36757222839471099</v>
      </c>
      <c r="F74" s="5">
        <f t="shared" si="3"/>
        <v>0.73514445678942197</v>
      </c>
      <c r="G74" s="49">
        <f>IF((('Raw Data'!C74)/('Raw Data'!C$135)*100)&lt;0,0,('Raw Data'!C74)/('Raw Data'!C$135)*100)</f>
        <v>46.090286174929467</v>
      </c>
      <c r="H74" s="49">
        <f t="shared" si="4"/>
        <v>2.344484750772537</v>
      </c>
      <c r="I74" s="85">
        <f t="shared" si="5"/>
        <v>4.0227669330124671E-2</v>
      </c>
      <c r="J74" s="5">
        <f>'Raw Data'!F74/I74</f>
        <v>0.58280402265732623</v>
      </c>
      <c r="K74" s="24">
        <f t="shared" si="6"/>
        <v>0.44172182482589362</v>
      </c>
      <c r="L74" s="49">
        <f>A74*Table!$AC$9/$AC$16</f>
        <v>55.988995931163025</v>
      </c>
      <c r="M74" s="49">
        <f>A74*Table!$AD$9/$AC$16</f>
        <v>19.19622717639875</v>
      </c>
      <c r="N74" s="49">
        <f>ABS(A74*Table!$AE$9/$AC$16)</f>
        <v>24.24394640438538</v>
      </c>
      <c r="O74" s="49">
        <f>($L74*(Table!$AC$10/Table!$AC$9)/(Table!$AC$12-Table!$AC$14))</f>
        <v>120.09651636886107</v>
      </c>
      <c r="P74" s="49">
        <f>ROUND(($N74*(Table!$AE$10/Table!$AE$9)/(Table!$AC$12-Table!$AC$13)),2)</f>
        <v>199.05</v>
      </c>
      <c r="Q74" s="49">
        <f>'Raw Data'!C74</f>
        <v>0.68610000000000004</v>
      </c>
      <c r="R74" s="49">
        <f>'Raw Data'!C74/'Raw Data'!I$30*100</f>
        <v>6.3671467956394192</v>
      </c>
      <c r="S74" s="54">
        <f t="shared" si="7"/>
        <v>0.26280120481927738</v>
      </c>
      <c r="T74" s="54">
        <f t="shared" si="8"/>
        <v>7.5746353472318506E-2</v>
      </c>
      <c r="U74" s="91">
        <f t="shared" si="9"/>
        <v>2.553471342498374E-2</v>
      </c>
      <c r="V74" s="91">
        <f t="shared" si="10"/>
        <v>0.80803727737836994</v>
      </c>
      <c r="W74" s="91">
        <f t="shared" si="11"/>
        <v>4.4383622682023479E-3</v>
      </c>
      <c r="X74" s="145">
        <f t="shared" si="12"/>
        <v>0.19871494192602948</v>
      </c>
      <c r="AS74" s="147"/>
      <c r="AT74" s="147"/>
    </row>
    <row r="75" spans="1:46" x14ac:dyDescent="0.2">
      <c r="A75" s="49">
        <v>272.24588012695312</v>
      </c>
      <c r="B75" s="111">
        <v>0.48038425366115811</v>
      </c>
      <c r="C75" s="111">
        <f t="shared" si="1"/>
        <v>0.51961574633884189</v>
      </c>
      <c r="D75" s="15">
        <f t="shared" si="2"/>
        <v>1.9481391911863433E-2</v>
      </c>
      <c r="E75" s="5">
        <f>(2*Table!$AC$16*0.147)/A75</f>
        <v>0.33666289173031094</v>
      </c>
      <c r="F75" s="5">
        <f t="shared" si="3"/>
        <v>0.67332578346062189</v>
      </c>
      <c r="G75" s="49">
        <f>IF((('Raw Data'!C75)/('Raw Data'!C$135)*100)&lt;0,0,('Raw Data'!C75)/('Raw Data'!C$135)*100)</f>
        <v>48.03842536611581</v>
      </c>
      <c r="H75" s="49">
        <f t="shared" si="4"/>
        <v>1.9481391911863426</v>
      </c>
      <c r="I75" s="85">
        <f t="shared" si="5"/>
        <v>3.8147441775850166E-2</v>
      </c>
      <c r="J75" s="5">
        <f>'Raw Data'!F75/I75</f>
        <v>0.51068671986797376</v>
      </c>
      <c r="K75" s="24">
        <f t="shared" si="6"/>
        <v>0.48227672092799784</v>
      </c>
      <c r="L75" s="49">
        <f>A75*Table!$AC$9/$AC$16</f>
        <v>61.129398295806027</v>
      </c>
      <c r="M75" s="49">
        <f>A75*Table!$AD$9/$AC$16</f>
        <v>20.958650844276352</v>
      </c>
      <c r="N75" s="49">
        <f>ABS(A75*Table!$AE$9/$AC$16)</f>
        <v>26.469805921112599</v>
      </c>
      <c r="O75" s="49">
        <f>($L75*(Table!$AC$10/Table!$AC$9)/(Table!$AC$12-Table!$AC$14))</f>
        <v>131.12269046719442</v>
      </c>
      <c r="P75" s="49">
        <f>ROUND(($N75*(Table!$AE$10/Table!$AE$9)/(Table!$AC$12-Table!$AC$13)),2)</f>
        <v>217.32</v>
      </c>
      <c r="Q75" s="49">
        <f>'Raw Data'!C75</f>
        <v>0.71509999999999996</v>
      </c>
      <c r="R75" s="49">
        <f>'Raw Data'!C75/'Raw Data'!I$30*100</f>
        <v>6.6362726622383752</v>
      </c>
      <c r="S75" s="54">
        <f t="shared" si="7"/>
        <v>0.21837349397590286</v>
      </c>
      <c r="T75" s="54">
        <f t="shared" si="8"/>
        <v>6.1356343884593656E-2</v>
      </c>
      <c r="U75" s="91">
        <f t="shared" si="9"/>
        <v>2.4376026036257235E-2</v>
      </c>
      <c r="V75" s="91">
        <f t="shared" si="10"/>
        <v>0.74701129445692993</v>
      </c>
      <c r="W75" s="91">
        <f t="shared" si="11"/>
        <v>3.0938584124418542E-3</v>
      </c>
      <c r="X75" s="145">
        <f t="shared" si="12"/>
        <v>0.20180880033847134</v>
      </c>
      <c r="AS75" s="147"/>
      <c r="AT75" s="147"/>
    </row>
    <row r="76" spans="1:46" x14ac:dyDescent="0.2">
      <c r="A76" s="49">
        <v>298.0125732421875</v>
      </c>
      <c r="B76" s="111">
        <v>0.49939540507859731</v>
      </c>
      <c r="C76" s="111">
        <f t="shared" si="1"/>
        <v>0.50060459492140263</v>
      </c>
      <c r="D76" s="15">
        <f t="shared" si="2"/>
        <v>1.9011151417439198E-2</v>
      </c>
      <c r="E76" s="5">
        <f>(2*Table!$AC$16*0.147)/A76</f>
        <v>0.30755442385552573</v>
      </c>
      <c r="F76" s="5">
        <f t="shared" si="3"/>
        <v>0.61510884771105145</v>
      </c>
      <c r="G76" s="49">
        <f>IF((('Raw Data'!C76)/('Raw Data'!C$135)*100)&lt;0,0,('Raw Data'!C76)/('Raw Data'!C$135)*100)</f>
        <v>49.939540507859732</v>
      </c>
      <c r="H76" s="49">
        <f t="shared" si="4"/>
        <v>1.9011151417439223</v>
      </c>
      <c r="I76" s="85">
        <f t="shared" si="5"/>
        <v>3.9273271143449084E-2</v>
      </c>
      <c r="J76" s="5">
        <f>'Raw Data'!F76/I76</f>
        <v>0.48407354070403996</v>
      </c>
      <c r="K76" s="24">
        <f t="shared" si="6"/>
        <v>0.52792176892276799</v>
      </c>
      <c r="L76" s="49">
        <f>A76*Table!$AC$9/$AC$16</f>
        <v>66.914986108824408</v>
      </c>
      <c r="M76" s="49">
        <f>A76*Table!$AD$9/$AC$16</f>
        <v>22.942280951596942</v>
      </c>
      <c r="N76" s="49">
        <f>ABS(A76*Table!$AE$9/$AC$16)</f>
        <v>28.975038932062386</v>
      </c>
      <c r="O76" s="49">
        <f>($L76*(Table!$AC$10/Table!$AC$9)/(Table!$AC$12-Table!$AC$14))</f>
        <v>143.53278873621713</v>
      </c>
      <c r="P76" s="49">
        <f>ROUND(($N76*(Table!$AE$10/Table!$AE$9)/(Table!$AC$12-Table!$AC$13)),2)</f>
        <v>237.89</v>
      </c>
      <c r="Q76" s="49">
        <f>'Raw Data'!C76</f>
        <v>0.74339999999999995</v>
      </c>
      <c r="R76" s="49">
        <f>'Raw Data'!C76/'Raw Data'!I$30*100</f>
        <v>6.8989023872297688</v>
      </c>
      <c r="S76" s="54">
        <f t="shared" si="7"/>
        <v>0.21310240963855409</v>
      </c>
      <c r="T76" s="54">
        <f t="shared" si="8"/>
        <v>4.9637008620464274E-2</v>
      </c>
      <c r="U76" s="91">
        <f t="shared" si="9"/>
        <v>2.3149702417499009E-2</v>
      </c>
      <c r="V76" s="91">
        <f t="shared" si="10"/>
        <v>0.68457208924732893</v>
      </c>
      <c r="W76" s="91">
        <f t="shared" si="11"/>
        <v>2.5196622541574288E-3</v>
      </c>
      <c r="X76" s="145">
        <f t="shared" si="12"/>
        <v>0.20432846259262877</v>
      </c>
      <c r="AS76" s="147"/>
      <c r="AT76" s="147"/>
    </row>
    <row r="77" spans="1:46" x14ac:dyDescent="0.2">
      <c r="A77" s="49">
        <v>327.05337524414062</v>
      </c>
      <c r="B77" s="111">
        <v>0.51679430337229615</v>
      </c>
      <c r="C77" s="111">
        <f t="shared" si="1"/>
        <v>0.48320569662770385</v>
      </c>
      <c r="D77" s="15">
        <f t="shared" si="2"/>
        <v>1.7398898293698839E-2</v>
      </c>
      <c r="E77" s="5">
        <f>(2*Table!$AC$16*0.147)/A77</f>
        <v>0.28024503705789444</v>
      </c>
      <c r="F77" s="5">
        <f t="shared" si="3"/>
        <v>0.56049007411578888</v>
      </c>
      <c r="G77" s="49">
        <f>IF((('Raw Data'!C77)/('Raw Data'!C$135)*100)&lt;0,0,('Raw Data'!C77)/('Raw Data'!C$135)*100)</f>
        <v>51.679430337229618</v>
      </c>
      <c r="H77" s="49">
        <f t="shared" si="4"/>
        <v>1.7398898293698863</v>
      </c>
      <c r="I77" s="85">
        <f t="shared" si="5"/>
        <v>4.0384048000301043E-2</v>
      </c>
      <c r="J77" s="5">
        <f>'Raw Data'!F77/I77</f>
        <v>0.43083591554687978</v>
      </c>
      <c r="K77" s="24">
        <f t="shared" si="6"/>
        <v>0.57936681836149628</v>
      </c>
      <c r="L77" s="49">
        <f>A77*Table!$AC$9/$AC$16</f>
        <v>73.435734013546437</v>
      </c>
      <c r="M77" s="49">
        <f>A77*Table!$AD$9/$AC$16</f>
        <v>25.177965947501637</v>
      </c>
      <c r="N77" s="49">
        <f>ABS(A77*Table!$AE$9/$AC$16)</f>
        <v>31.798605600644098</v>
      </c>
      <c r="O77" s="49">
        <f>($L77*(Table!$AC$10/Table!$AC$9)/(Table!$AC$12-Table!$AC$14))</f>
        <v>157.5198069788641</v>
      </c>
      <c r="P77" s="49">
        <f>ROUND(($N77*(Table!$AE$10/Table!$AE$9)/(Table!$AC$12-Table!$AC$13)),2)</f>
        <v>261.07</v>
      </c>
      <c r="Q77" s="49">
        <f>'Raw Data'!C77</f>
        <v>0.76929999999999998</v>
      </c>
      <c r="R77" s="49">
        <f>'Raw Data'!C77/'Raw Data'!I$30*100</f>
        <v>7.1392596267095252</v>
      </c>
      <c r="S77" s="54">
        <f t="shared" si="7"/>
        <v>0.19503012048192836</v>
      </c>
      <c r="T77" s="54">
        <f t="shared" si="8"/>
        <v>4.0731715659517831E-2</v>
      </c>
      <c r="U77" s="91">
        <f t="shared" si="9"/>
        <v>2.1829035157885684E-2</v>
      </c>
      <c r="V77" s="91">
        <f t="shared" si="10"/>
        <v>0.61984100529603581</v>
      </c>
      <c r="W77" s="91">
        <f t="shared" si="11"/>
        <v>1.914641916985641E-3</v>
      </c>
      <c r="X77" s="145">
        <f t="shared" si="12"/>
        <v>0.20624310450961442</v>
      </c>
      <c r="AS77" s="147"/>
      <c r="AT77" s="147"/>
    </row>
    <row r="78" spans="1:46" x14ac:dyDescent="0.2">
      <c r="A78" s="49">
        <v>357.46517944335937</v>
      </c>
      <c r="B78" s="111">
        <v>0.5335886067445923</v>
      </c>
      <c r="C78" s="111">
        <f t="shared" si="1"/>
        <v>0.4664113932554077</v>
      </c>
      <c r="D78" s="15">
        <f t="shared" si="2"/>
        <v>1.6794303372296149E-2</v>
      </c>
      <c r="E78" s="5">
        <f>(2*Table!$AC$16*0.147)/A78</f>
        <v>0.25640283455839774</v>
      </c>
      <c r="F78" s="5">
        <f t="shared" si="3"/>
        <v>0.51280566911679548</v>
      </c>
      <c r="G78" s="49">
        <f>IF((('Raw Data'!C78)/('Raw Data'!C$135)*100)&lt;0,0,('Raw Data'!C78)/('Raw Data'!C$135)*100)</f>
        <v>53.35886067445923</v>
      </c>
      <c r="H78" s="49">
        <f t="shared" si="4"/>
        <v>1.6794303372296113</v>
      </c>
      <c r="I78" s="85">
        <f t="shared" si="5"/>
        <v>3.861510824463732E-2</v>
      </c>
      <c r="J78" s="5">
        <f>'Raw Data'!F78/I78</f>
        <v>0.4349153514189219</v>
      </c>
      <c r="K78" s="24">
        <f t="shared" si="6"/>
        <v>0.63324056366799675</v>
      </c>
      <c r="L78" s="49">
        <f>A78*Table!$AC$9/$AC$16</f>
        <v>80.264323268675653</v>
      </c>
      <c r="M78" s="49">
        <f>A78*Table!$AD$9/$AC$16</f>
        <v>27.519196549260226</v>
      </c>
      <c r="N78" s="49">
        <f>ABS(A78*Table!$AE$9/$AC$16)</f>
        <v>34.755471484119781</v>
      </c>
      <c r="O78" s="49">
        <f>($L78*(Table!$AC$10/Table!$AC$9)/(Table!$AC$12-Table!$AC$14))</f>
        <v>172.16714557845486</v>
      </c>
      <c r="P78" s="49">
        <f>ROUND(($N78*(Table!$AE$10/Table!$AE$9)/(Table!$AC$12-Table!$AC$13)),2)</f>
        <v>285.35000000000002</v>
      </c>
      <c r="Q78" s="49">
        <f>'Raw Data'!C78</f>
        <v>0.79430000000000001</v>
      </c>
      <c r="R78" s="49">
        <f>'Raw Data'!C78/'Raw Data'!I$30*100</f>
        <v>7.3712646841224183</v>
      </c>
      <c r="S78" s="54">
        <f t="shared" si="7"/>
        <v>0.18825301204819309</v>
      </c>
      <c r="T78" s="54">
        <f t="shared" si="8"/>
        <v>3.3536261027030001E-2</v>
      </c>
      <c r="U78" s="91">
        <f t="shared" si="9"/>
        <v>2.0620930675264278E-2</v>
      </c>
      <c r="V78" s="91">
        <f t="shared" si="10"/>
        <v>0.56294785292890259</v>
      </c>
      <c r="W78" s="91">
        <f t="shared" si="11"/>
        <v>1.5470259217239548E-3</v>
      </c>
      <c r="X78" s="145">
        <f t="shared" si="12"/>
        <v>0.20779013043133837</v>
      </c>
      <c r="AS78" s="147"/>
      <c r="AT78" s="147"/>
    </row>
    <row r="79" spans="1:46" x14ac:dyDescent="0.2">
      <c r="A79" s="49">
        <v>391.24301147460937</v>
      </c>
      <c r="B79" s="111">
        <v>0.55051726454386674</v>
      </c>
      <c r="C79" s="111">
        <f t="shared" si="1"/>
        <v>0.44948273545613326</v>
      </c>
      <c r="D79" s="15">
        <f t="shared" si="2"/>
        <v>1.6928657799274438E-2</v>
      </c>
      <c r="E79" s="5">
        <f>(2*Table!$AC$16*0.147)/A79</f>
        <v>0.23426638323775353</v>
      </c>
      <c r="F79" s="5">
        <f t="shared" si="3"/>
        <v>0.46853276647550707</v>
      </c>
      <c r="G79" s="49">
        <f>IF((('Raw Data'!C79)/('Raw Data'!C$135)*100)&lt;0,0,('Raw Data'!C79)/('Raw Data'!C$135)*100)</f>
        <v>55.051726454386674</v>
      </c>
      <c r="H79" s="49">
        <f t="shared" si="4"/>
        <v>1.6928657799274447</v>
      </c>
      <c r="I79" s="85">
        <f t="shared" si="5"/>
        <v>3.9212849371737746E-2</v>
      </c>
      <c r="J79" s="5">
        <f>'Raw Data'!F79/I79</f>
        <v>0.43171200436853724</v>
      </c>
      <c r="K79" s="24">
        <f t="shared" si="6"/>
        <v>0.69307714251536623</v>
      </c>
      <c r="L79" s="49">
        <f>A79*Table!$AC$9/$AC$16</f>
        <v>87.848711861973214</v>
      </c>
      <c r="M79" s="49">
        <f>A79*Table!$AD$9/$AC$16</f>
        <v>30.119558352676528</v>
      </c>
      <c r="N79" s="49">
        <f>ABS(A79*Table!$AE$9/$AC$16)</f>
        <v>38.039608081104078</v>
      </c>
      <c r="O79" s="49">
        <f>($L79*(Table!$AC$10/Table!$AC$9)/(Table!$AC$12-Table!$AC$14))</f>
        <v>188.43567537960794</v>
      </c>
      <c r="P79" s="49">
        <f>ROUND(($N79*(Table!$AE$10/Table!$AE$9)/(Table!$AC$12-Table!$AC$13)),2)</f>
        <v>312.31</v>
      </c>
      <c r="Q79" s="49">
        <f>'Raw Data'!C79</f>
        <v>0.81950000000000001</v>
      </c>
      <c r="R79" s="49">
        <f>'Raw Data'!C79/'Raw Data'!I$30*100</f>
        <v>7.6051257819946132</v>
      </c>
      <c r="S79" s="54">
        <f t="shared" si="7"/>
        <v>0.18975903614457773</v>
      </c>
      <c r="T79" s="54">
        <f t="shared" si="8"/>
        <v>2.7481554848257983E-2</v>
      </c>
      <c r="U79" s="91">
        <f t="shared" si="9"/>
        <v>1.9438368377062157E-2</v>
      </c>
      <c r="V79" s="91">
        <f t="shared" si="10"/>
        <v>0.50944421074766044</v>
      </c>
      <c r="W79" s="91">
        <f t="shared" si="11"/>
        <v>1.3017645007017183E-3</v>
      </c>
      <c r="X79" s="145">
        <f t="shared" si="12"/>
        <v>0.20909189493204008</v>
      </c>
      <c r="AS79" s="147"/>
      <c r="AT79" s="147"/>
    </row>
    <row r="80" spans="1:46" x14ac:dyDescent="0.2">
      <c r="A80" s="49">
        <v>427.23556518554688</v>
      </c>
      <c r="B80" s="111">
        <v>0.56724439070267374</v>
      </c>
      <c r="C80" s="111">
        <f t="shared" si="1"/>
        <v>0.43275560929732626</v>
      </c>
      <c r="D80" s="15">
        <f t="shared" si="2"/>
        <v>1.6727126158807004E-2</v>
      </c>
      <c r="E80" s="5">
        <f>(2*Table!$AC$16*0.147)/A80</f>
        <v>0.21453056050096897</v>
      </c>
      <c r="F80" s="5">
        <f t="shared" si="3"/>
        <v>0.42906112100193794</v>
      </c>
      <c r="G80" s="49">
        <f>IF((('Raw Data'!C80)/('Raw Data'!C$135)*100)&lt;0,0,('Raw Data'!C80)/('Raw Data'!C$135)*100)</f>
        <v>56.724439070267373</v>
      </c>
      <c r="H80" s="49">
        <f t="shared" si="4"/>
        <v>1.6727126158806982</v>
      </c>
      <c r="I80" s="85">
        <f t="shared" si="5"/>
        <v>3.8220805232447419E-2</v>
      </c>
      <c r="J80" s="5">
        <f>'Raw Data'!F80/I80</f>
        <v>0.43764452520237773</v>
      </c>
      <c r="K80" s="24">
        <f t="shared" si="6"/>
        <v>0.75683704504700888</v>
      </c>
      <c r="L80" s="49">
        <f>A80*Table!$AC$9/$AC$16</f>
        <v>95.930388434831158</v>
      </c>
      <c r="M80" s="49">
        <f>A80*Table!$AD$9/$AC$16</f>
        <v>32.890418891942112</v>
      </c>
      <c r="N80" s="49">
        <f>ABS(A80*Table!$AE$9/$AC$16)</f>
        <v>41.539076689736348</v>
      </c>
      <c r="O80" s="49">
        <f>($L80*(Table!$AC$10/Table!$AC$9)/(Table!$AC$12-Table!$AC$14))</f>
        <v>205.77088896360183</v>
      </c>
      <c r="P80" s="49">
        <f>ROUND(($N80*(Table!$AE$10/Table!$AE$9)/(Table!$AC$12-Table!$AC$13)),2)</f>
        <v>341.04</v>
      </c>
      <c r="Q80" s="49">
        <f>'Raw Data'!C80</f>
        <v>0.84440000000000004</v>
      </c>
      <c r="R80" s="49">
        <f>'Raw Data'!C80/'Raw Data'!I$30*100</f>
        <v>7.8362028191778554</v>
      </c>
      <c r="S80" s="54">
        <f t="shared" si="7"/>
        <v>0.18750000000000075</v>
      </c>
      <c r="T80" s="54">
        <f t="shared" si="8"/>
        <v>2.2464483600585949E-2</v>
      </c>
      <c r="U80" s="91">
        <f t="shared" si="9"/>
        <v>1.8341644417581716E-2</v>
      </c>
      <c r="V80" s="91">
        <f t="shared" si="10"/>
        <v>0.46179264301477291</v>
      </c>
      <c r="W80" s="91">
        <f t="shared" si="11"/>
        <v>1.0786725325514085E-3</v>
      </c>
      <c r="X80" s="145">
        <f t="shared" si="12"/>
        <v>0.21017056746459151</v>
      </c>
      <c r="AS80" s="147"/>
      <c r="AT80" s="147"/>
    </row>
    <row r="81" spans="1:46" x14ac:dyDescent="0.2">
      <c r="A81" s="49">
        <v>468.82559204101562</v>
      </c>
      <c r="B81" s="111">
        <v>0.58356845358054554</v>
      </c>
      <c r="C81" s="111">
        <f t="shared" si="1"/>
        <v>0.41643154641945446</v>
      </c>
      <c r="D81" s="15">
        <f t="shared" si="2"/>
        <v>1.6324062877871803E-2</v>
      </c>
      <c r="E81" s="5">
        <f>(2*Table!$AC$16*0.147)/A81</f>
        <v>0.19549932175457074</v>
      </c>
      <c r="F81" s="5">
        <f t="shared" si="3"/>
        <v>0.39099864350914149</v>
      </c>
      <c r="G81" s="49">
        <f>IF((('Raw Data'!C81)/('Raw Data'!C$135)*100)&lt;0,0,('Raw Data'!C81)/('Raw Data'!C$135)*100)</f>
        <v>58.356845358054557</v>
      </c>
      <c r="H81" s="49">
        <f t="shared" si="4"/>
        <v>1.6324062877871839</v>
      </c>
      <c r="I81" s="85">
        <f t="shared" si="5"/>
        <v>4.0343912399610438E-2</v>
      </c>
      <c r="J81" s="5">
        <f>'Raw Data'!F81/I81</f>
        <v>0.40462270283011592</v>
      </c>
      <c r="K81" s="24">
        <f t="shared" si="6"/>
        <v>0.83051273029818495</v>
      </c>
      <c r="L81" s="49">
        <f>A81*Table!$AC$9/$AC$16</f>
        <v>105.26890740744395</v>
      </c>
      <c r="M81" s="49">
        <f>A81*Table!$AD$9/$AC$16</f>
        <v>36.092196825409353</v>
      </c>
      <c r="N81" s="49">
        <f>ABS(A81*Table!$AE$9/$AC$16)</f>
        <v>45.582774021739169</v>
      </c>
      <c r="O81" s="49">
        <f>($L81*(Table!$AC$10/Table!$AC$9)/(Table!$AC$12-Table!$AC$14))</f>
        <v>225.80203219099948</v>
      </c>
      <c r="P81" s="49">
        <f>ROUND(($N81*(Table!$AE$10/Table!$AE$9)/(Table!$AC$12-Table!$AC$13)),2)</f>
        <v>374.24</v>
      </c>
      <c r="Q81" s="49">
        <f>'Raw Data'!C81</f>
        <v>0.86870000000000003</v>
      </c>
      <c r="R81" s="49">
        <f>'Raw Data'!C81/'Raw Data'!I$30*100</f>
        <v>8.0617117349831862</v>
      </c>
      <c r="S81" s="54">
        <f t="shared" si="7"/>
        <v>0.18298192771084307</v>
      </c>
      <c r="T81" s="54">
        <f t="shared" si="8"/>
        <v>1.8398464914214152E-2</v>
      </c>
      <c r="U81" s="91">
        <f t="shared" si="9"/>
        <v>1.7195545362374116E-2</v>
      </c>
      <c r="V81" s="91">
        <f t="shared" si="10"/>
        <v>0.4140580897519523</v>
      </c>
      <c r="W81" s="91">
        <f t="shared" si="11"/>
        <v>8.7419581212149844E-4</v>
      </c>
      <c r="X81" s="145">
        <f t="shared" si="12"/>
        <v>0.21104476327671301</v>
      </c>
      <c r="AS81" s="147"/>
      <c r="AT81" s="147"/>
    </row>
    <row r="82" spans="1:46" x14ac:dyDescent="0.2">
      <c r="A82" s="49">
        <v>512.408935546875</v>
      </c>
      <c r="B82" s="111">
        <v>0.5995566303909714</v>
      </c>
      <c r="C82" s="111">
        <f t="shared" si="1"/>
        <v>0.4004433696090286</v>
      </c>
      <c r="D82" s="15">
        <f t="shared" si="2"/>
        <v>1.5988176810425858E-2</v>
      </c>
      <c r="E82" s="5">
        <f>(2*Table!$AC$16*0.147)/A82</f>
        <v>0.17887097376118857</v>
      </c>
      <c r="F82" s="5">
        <f t="shared" si="3"/>
        <v>0.35774194752237715</v>
      </c>
      <c r="G82" s="49">
        <f>IF((('Raw Data'!C82)/('Raw Data'!C$135)*100)&lt;0,0,('Raw Data'!C82)/('Raw Data'!C$135)*100)</f>
        <v>59.955663039097139</v>
      </c>
      <c r="H82" s="49">
        <f t="shared" si="4"/>
        <v>1.5988176810425827</v>
      </c>
      <c r="I82" s="85">
        <f t="shared" si="5"/>
        <v>3.8605383771959878E-2</v>
      </c>
      <c r="J82" s="5">
        <f>'Raw Data'!F82/I82</f>
        <v>0.41414370868237549</v>
      </c>
      <c r="K82" s="24">
        <f t="shared" si="6"/>
        <v>0.90771952579967352</v>
      </c>
      <c r="L82" s="49">
        <f>A82*Table!$AC$9/$AC$16</f>
        <v>115.0550006368079</v>
      </c>
      <c r="M82" s="49">
        <f>A82*Table!$AD$9/$AC$16</f>
        <v>39.447428789762711</v>
      </c>
      <c r="N82" s="49">
        <f>ABS(A82*Table!$AE$9/$AC$16)</f>
        <v>49.820276691955208</v>
      </c>
      <c r="O82" s="49">
        <f>($L82*(Table!$AC$10/Table!$AC$9)/(Table!$AC$12-Table!$AC$14))</f>
        <v>246.79322315917616</v>
      </c>
      <c r="P82" s="49">
        <f>ROUND(($N82*(Table!$AE$10/Table!$AE$9)/(Table!$AC$12-Table!$AC$13)),2)</f>
        <v>409.03</v>
      </c>
      <c r="Q82" s="49">
        <f>'Raw Data'!C82</f>
        <v>0.89249999999999996</v>
      </c>
      <c r="R82" s="49">
        <f>'Raw Data'!C82/'Raw Data'!I$30*100</f>
        <v>8.282580549640258</v>
      </c>
      <c r="S82" s="54">
        <f t="shared" si="7"/>
        <v>0.17921686746987897</v>
      </c>
      <c r="T82" s="54">
        <f t="shared" si="8"/>
        <v>1.5064743642980827E-2</v>
      </c>
      <c r="U82" s="91">
        <f t="shared" si="9"/>
        <v>1.6164004909088026E-2</v>
      </c>
      <c r="V82" s="91">
        <f t="shared" si="10"/>
        <v>0.37293162208092306</v>
      </c>
      <c r="W82" s="91">
        <f t="shared" si="11"/>
        <v>7.167515446646856E-4</v>
      </c>
      <c r="X82" s="145">
        <f t="shared" si="12"/>
        <v>0.2117615148213777</v>
      </c>
      <c r="AS82" s="147"/>
      <c r="AT82" s="147"/>
    </row>
    <row r="83" spans="1:46" x14ac:dyDescent="0.2">
      <c r="A83" s="49">
        <v>561.71441650390625</v>
      </c>
      <c r="B83" s="111">
        <v>0.6158806932688432</v>
      </c>
      <c r="C83" s="111">
        <f t="shared" si="1"/>
        <v>0.3841193067311568</v>
      </c>
      <c r="D83" s="15">
        <f t="shared" si="2"/>
        <v>1.6324062877871803E-2</v>
      </c>
      <c r="E83" s="5">
        <f>(2*Table!$AC$16*0.147)/A83</f>
        <v>0.16317025622319284</v>
      </c>
      <c r="F83" s="5">
        <f t="shared" si="3"/>
        <v>0.32634051244638568</v>
      </c>
      <c r="G83" s="49">
        <f>IF((('Raw Data'!C83)/('Raw Data'!C$135)*100)&lt;0,0,('Raw Data'!C83)/('Raw Data'!C$135)*100)</f>
        <v>61.588069326884323</v>
      </c>
      <c r="H83" s="49">
        <f t="shared" si="4"/>
        <v>1.6324062877871839</v>
      </c>
      <c r="I83" s="85">
        <f t="shared" si="5"/>
        <v>3.989887576566209E-2</v>
      </c>
      <c r="J83" s="5">
        <f>'Raw Data'!F83/I83</f>
        <v>0.40913591083989076</v>
      </c>
      <c r="K83" s="24">
        <f t="shared" si="6"/>
        <v>0.995062943700603</v>
      </c>
      <c r="L83" s="49">
        <f>A83*Table!$AC$9/$AC$16</f>
        <v>126.12592807263596</v>
      </c>
      <c r="M83" s="49">
        <f>A83*Table!$AD$9/$AC$16</f>
        <v>43.24317533918947</v>
      </c>
      <c r="N83" s="49">
        <f>ABS(A83*Table!$AE$9/$AC$16)</f>
        <v>54.614128893395815</v>
      </c>
      <c r="O83" s="49">
        <f>($L83*(Table!$AC$10/Table!$AC$9)/(Table!$AC$12-Table!$AC$14))</f>
        <v>270.5403862561904</v>
      </c>
      <c r="P83" s="49">
        <f>ROUND(($N83*(Table!$AE$10/Table!$AE$9)/(Table!$AC$12-Table!$AC$13)),2)</f>
        <v>448.39</v>
      </c>
      <c r="Q83" s="49">
        <f>'Raw Data'!C83</f>
        <v>0.91679999999999995</v>
      </c>
      <c r="R83" s="49">
        <f>'Raw Data'!C83/'Raw Data'!I$30*100</f>
        <v>8.5080894654455914</v>
      </c>
      <c r="S83" s="54">
        <f t="shared" si="7"/>
        <v>0.18298192771084307</v>
      </c>
      <c r="T83" s="54">
        <f t="shared" si="8"/>
        <v>1.2232302780593729E-2</v>
      </c>
      <c r="U83" s="91">
        <f t="shared" si="9"/>
        <v>1.5146646081116604E-2</v>
      </c>
      <c r="V83" s="91">
        <f t="shared" si="10"/>
        <v>0.33410891154711342</v>
      </c>
      <c r="W83" s="91">
        <f t="shared" si="11"/>
        <v>6.0897603552089547E-4</v>
      </c>
      <c r="X83" s="145">
        <f t="shared" si="12"/>
        <v>0.2123704908568986</v>
      </c>
      <c r="AS83" s="147"/>
      <c r="AT83" s="147"/>
    </row>
    <row r="84" spans="1:46" x14ac:dyDescent="0.2">
      <c r="A84" s="49">
        <v>612.82550048828125</v>
      </c>
      <c r="B84" s="111">
        <v>0.63099556630390974</v>
      </c>
      <c r="C84" s="111">
        <f t="shared" si="1"/>
        <v>0.36900443369609026</v>
      </c>
      <c r="D84" s="15">
        <f t="shared" si="2"/>
        <v>1.5114873035066534E-2</v>
      </c>
      <c r="E84" s="5">
        <f>(2*Table!$AC$16*0.147)/A84</f>
        <v>0.14956147417523516</v>
      </c>
      <c r="F84" s="5">
        <f t="shared" si="3"/>
        <v>0.29912294835047032</v>
      </c>
      <c r="G84" s="49">
        <f>IF((('Raw Data'!C84)/('Raw Data'!C$135)*100)&lt;0,0,('Raw Data'!C84)/('Raw Data'!C$135)*100)</f>
        <v>63.099556630390971</v>
      </c>
      <c r="H84" s="49">
        <f t="shared" si="4"/>
        <v>1.5114873035066481</v>
      </c>
      <c r="I84" s="85">
        <f t="shared" si="5"/>
        <v>3.7821258307484618E-2</v>
      </c>
      <c r="J84" s="5">
        <f>'Raw Data'!F84/I84</f>
        <v>0.39963961304998108</v>
      </c>
      <c r="K84" s="24">
        <f t="shared" si="6"/>
        <v>1.0856049418956364</v>
      </c>
      <c r="L84" s="49">
        <f>A84*Table!$AC$9/$AC$16</f>
        <v>137.60228102517391</v>
      </c>
      <c r="M84" s="49">
        <f>A84*Table!$AD$9/$AC$16</f>
        <v>47.177924922916773</v>
      </c>
      <c r="N84" s="49">
        <f>ABS(A84*Table!$AE$9/$AC$16)</f>
        <v>59.583535493243026</v>
      </c>
      <c r="O84" s="49">
        <f>($L84*(Table!$AC$10/Table!$AC$9)/(Table!$AC$12-Table!$AC$14))</f>
        <v>295.15718795618602</v>
      </c>
      <c r="P84" s="49">
        <f>ROUND(($N84*(Table!$AE$10/Table!$AE$9)/(Table!$AC$12-Table!$AC$13)),2)</f>
        <v>489.19</v>
      </c>
      <c r="Q84" s="49">
        <f>'Raw Data'!C84</f>
        <v>0.93930000000000002</v>
      </c>
      <c r="R84" s="49">
        <f>'Raw Data'!C84/'Raw Data'!I$30*100</f>
        <v>8.7168940171171947</v>
      </c>
      <c r="S84" s="54">
        <f t="shared" si="7"/>
        <v>0.16942771084337377</v>
      </c>
      <c r="T84" s="54">
        <f t="shared" si="8"/>
        <v>1.0028896520177688E-2</v>
      </c>
      <c r="U84" s="91">
        <f t="shared" si="9"/>
        <v>1.4224104594491957E-2</v>
      </c>
      <c r="V84" s="91">
        <f t="shared" si="10"/>
        <v>0.30042637974708797</v>
      </c>
      <c r="W84" s="91">
        <f t="shared" si="11"/>
        <v>4.7373331847050577E-4</v>
      </c>
      <c r="X84" s="145">
        <f t="shared" si="12"/>
        <v>0.21284422417536911</v>
      </c>
      <c r="AS84" s="147"/>
      <c r="AT84" s="147"/>
    </row>
    <row r="85" spans="1:46" x14ac:dyDescent="0.2">
      <c r="A85" s="49">
        <v>671.81829833984375</v>
      </c>
      <c r="B85" s="111">
        <v>0.64678221147386805</v>
      </c>
      <c r="C85" s="111">
        <f t="shared" si="1"/>
        <v>0.35321778852613195</v>
      </c>
      <c r="D85" s="15">
        <f t="shared" si="2"/>
        <v>1.5786645169958313E-2</v>
      </c>
      <c r="E85" s="5">
        <f>(2*Table!$AC$16*0.147)/A85</f>
        <v>0.13642838471606991</v>
      </c>
      <c r="F85" s="5">
        <f t="shared" si="3"/>
        <v>0.27285676943213982</v>
      </c>
      <c r="G85" s="49">
        <f>IF((('Raw Data'!C85)/('Raw Data'!C$135)*100)&lt;0,0,('Raw Data'!C85)/('Raw Data'!C$135)*100)</f>
        <v>64.678221147386807</v>
      </c>
      <c r="H85" s="49">
        <f t="shared" si="4"/>
        <v>1.5786645169958362</v>
      </c>
      <c r="I85" s="85">
        <f t="shared" si="5"/>
        <v>3.9914999987117006E-2</v>
      </c>
      <c r="J85" s="5">
        <f>'Raw Data'!F85/I85</f>
        <v>0.39550658086066948</v>
      </c>
      <c r="K85" s="24">
        <f t="shared" si="6"/>
        <v>1.1901091977284617</v>
      </c>
      <c r="L85" s="49">
        <f>A85*Table!$AC$9/$AC$16</f>
        <v>150.84837398632544</v>
      </c>
      <c r="M85" s="49">
        <f>A85*Table!$AD$9/$AC$16</f>
        <v>51.719442509597293</v>
      </c>
      <c r="N85" s="49">
        <f>ABS(A85*Table!$AE$9/$AC$16)</f>
        <v>65.319261995866754</v>
      </c>
      <c r="O85" s="49">
        <f>($L85*(Table!$AC$10/Table!$AC$9)/(Table!$AC$12-Table!$AC$14))</f>
        <v>323.57008577075391</v>
      </c>
      <c r="P85" s="49">
        <f>ROUND(($N85*(Table!$AE$10/Table!$AE$9)/(Table!$AC$12-Table!$AC$13)),2)</f>
        <v>536.28</v>
      </c>
      <c r="Q85" s="49">
        <f>'Raw Data'!C85</f>
        <v>0.96279999999999999</v>
      </c>
      <c r="R85" s="49">
        <f>'Raw Data'!C85/'Raw Data'!I$30*100</f>
        <v>8.9349787710853121</v>
      </c>
      <c r="S85" s="54">
        <f t="shared" si="7"/>
        <v>0.17695783132530074</v>
      </c>
      <c r="T85" s="54">
        <f t="shared" si="8"/>
        <v>8.1139796589306812E-3</v>
      </c>
      <c r="U85" s="91">
        <f t="shared" si="9"/>
        <v>1.3299695458079788E-2</v>
      </c>
      <c r="V85" s="91">
        <f t="shared" si="10"/>
        <v>0.26815704076785507</v>
      </c>
      <c r="W85" s="91">
        <f t="shared" si="11"/>
        <v>4.1170797032336634E-4</v>
      </c>
      <c r="X85" s="145">
        <f t="shared" si="12"/>
        <v>0.21325593214569247</v>
      </c>
      <c r="AS85" s="147"/>
      <c r="AT85" s="147"/>
    </row>
    <row r="86" spans="1:46" x14ac:dyDescent="0.2">
      <c r="A86" s="49">
        <v>733.8936767578125</v>
      </c>
      <c r="B86" s="111">
        <v>0.66169555286846704</v>
      </c>
      <c r="C86" s="111">
        <f t="shared" si="1"/>
        <v>0.33830444713153296</v>
      </c>
      <c r="D86" s="15">
        <f t="shared" si="2"/>
        <v>1.4913341394598989E-2</v>
      </c>
      <c r="E86" s="5">
        <f>(2*Table!$AC$16*0.147)/A86</f>
        <v>0.12488877908052905</v>
      </c>
      <c r="F86" s="5">
        <f t="shared" si="3"/>
        <v>0.24977755816105809</v>
      </c>
      <c r="G86" s="49">
        <f>IF((('Raw Data'!C86)/('Raw Data'!C$135)*100)&lt;0,0,('Raw Data'!C86)/('Raw Data'!C$135)*100)</f>
        <v>66.169555286846702</v>
      </c>
      <c r="H86" s="49">
        <f t="shared" si="4"/>
        <v>1.4913341394598945</v>
      </c>
      <c r="I86" s="85">
        <f t="shared" si="5"/>
        <v>3.8381317264439496E-2</v>
      </c>
      <c r="J86" s="5">
        <f>'Raw Data'!F86/I86</f>
        <v>0.38855731010608857</v>
      </c>
      <c r="K86" s="24">
        <f t="shared" si="6"/>
        <v>1.3000741674088925</v>
      </c>
      <c r="L86" s="49">
        <f>A86*Table!$AC$9/$AC$16</f>
        <v>164.78662175670635</v>
      </c>
      <c r="M86" s="49">
        <f>A86*Table!$AD$9/$AC$16</f>
        <v>56.498270316585035</v>
      </c>
      <c r="N86" s="49">
        <f>ABS(A86*Table!$AE$9/$AC$16)</f>
        <v>71.354700322562593</v>
      </c>
      <c r="O86" s="49">
        <f>($L86*(Table!$AC$10/Table!$AC$9)/(Table!$AC$12-Table!$AC$14))</f>
        <v>353.46765713579231</v>
      </c>
      <c r="P86" s="49">
        <f>ROUND(($N86*(Table!$AE$10/Table!$AE$9)/(Table!$AC$12-Table!$AC$13)),2)</f>
        <v>585.83000000000004</v>
      </c>
      <c r="Q86" s="49">
        <f>'Raw Data'!C86</f>
        <v>0.98499999999999999</v>
      </c>
      <c r="R86" s="49">
        <f>'Raw Data'!C86/'Raw Data'!I$30*100</f>
        <v>9.140999262067961</v>
      </c>
      <c r="S86" s="54">
        <f t="shared" si="7"/>
        <v>0.16716867469879557</v>
      </c>
      <c r="T86" s="54">
        <f t="shared" si="8"/>
        <v>6.5980732087974614E-3</v>
      </c>
      <c r="U86" s="91">
        <f t="shared" si="9"/>
        <v>1.2455481701996627E-2</v>
      </c>
      <c r="V86" s="91">
        <f t="shared" si="10"/>
        <v>0.24000901170564731</v>
      </c>
      <c r="W86" s="91">
        <f t="shared" si="11"/>
        <v>3.2592055582925453E-4</v>
      </c>
      <c r="X86" s="145">
        <f t="shared" si="12"/>
        <v>0.21358185270152172</v>
      </c>
      <c r="AS86" s="147"/>
      <c r="AT86" s="147"/>
    </row>
    <row r="87" spans="1:46" x14ac:dyDescent="0.2">
      <c r="A87" s="49">
        <v>803.9598388671875</v>
      </c>
      <c r="B87" s="111">
        <v>0.67674324869004443</v>
      </c>
      <c r="C87" s="111">
        <f t="shared" si="1"/>
        <v>0.32325675130995557</v>
      </c>
      <c r="D87" s="15">
        <f t="shared" si="2"/>
        <v>1.5047695821577389E-2</v>
      </c>
      <c r="E87" s="5">
        <f>(2*Table!$AC$16*0.147)/A87</f>
        <v>0.11400455698676371</v>
      </c>
      <c r="F87" s="5">
        <f t="shared" si="3"/>
        <v>0.22800911397352741</v>
      </c>
      <c r="G87" s="49">
        <f>IF((('Raw Data'!C87)/('Raw Data'!C$135)*100)&lt;0,0,('Raw Data'!C87)/('Raw Data'!C$135)*100)</f>
        <v>67.674324869004437</v>
      </c>
      <c r="H87" s="49">
        <f t="shared" si="4"/>
        <v>1.5047695821577349</v>
      </c>
      <c r="I87" s="85">
        <f t="shared" si="5"/>
        <v>3.9601208651252717E-2</v>
      </c>
      <c r="J87" s="5">
        <f>'Raw Data'!F87/I87</f>
        <v>0.37998072114653453</v>
      </c>
      <c r="K87" s="24">
        <f t="shared" si="6"/>
        <v>1.4241946091741138</v>
      </c>
      <c r="L87" s="49">
        <f>A87*Table!$AC$9/$AC$16</f>
        <v>180.51909979694412</v>
      </c>
      <c r="M87" s="49">
        <f>A87*Table!$AD$9/$AC$16</f>
        <v>61.892262787523698</v>
      </c>
      <c r="N87" s="49">
        <f>ABS(A87*Table!$AE$9/$AC$16)</f>
        <v>78.167063146225956</v>
      </c>
      <c r="O87" s="49">
        <f>($L87*(Table!$AC$10/Table!$AC$9)/(Table!$AC$12-Table!$AC$14))</f>
        <v>387.21385627830142</v>
      </c>
      <c r="P87" s="49">
        <f>ROUND(($N87*(Table!$AE$10/Table!$AE$9)/(Table!$AC$12-Table!$AC$13)),2)</f>
        <v>641.77</v>
      </c>
      <c r="Q87" s="49">
        <f>'Raw Data'!C87</f>
        <v>1.0074000000000001</v>
      </c>
      <c r="R87" s="49">
        <f>'Raw Data'!C87/'Raw Data'!I$30*100</f>
        <v>9.3488757935099152</v>
      </c>
      <c r="S87" s="54">
        <f t="shared" si="7"/>
        <v>0.16867469879518146</v>
      </c>
      <c r="T87" s="54">
        <f t="shared" si="8"/>
        <v>5.3234992898604228E-3</v>
      </c>
      <c r="U87" s="91">
        <f t="shared" si="9"/>
        <v>1.1628535831693864E-2</v>
      </c>
      <c r="V87" s="91">
        <f t="shared" si="10"/>
        <v>0.21368583322153603</v>
      </c>
      <c r="W87" s="91">
        <f t="shared" si="11"/>
        <v>2.7403395510915108E-4</v>
      </c>
      <c r="X87" s="145">
        <f t="shared" si="12"/>
        <v>0.21385588665663086</v>
      </c>
      <c r="AS87" s="147"/>
      <c r="AT87" s="147"/>
    </row>
    <row r="88" spans="1:46" x14ac:dyDescent="0.2">
      <c r="A88" s="49">
        <v>879.97943115234375</v>
      </c>
      <c r="B88" s="111">
        <v>0.69085046352277313</v>
      </c>
      <c r="C88" s="111">
        <f t="shared" si="1"/>
        <v>0.30914953647722687</v>
      </c>
      <c r="D88" s="15">
        <f t="shared" si="2"/>
        <v>1.4107214832728698E-2</v>
      </c>
      <c r="E88" s="5">
        <f>(2*Table!$AC$16*0.147)/A88</f>
        <v>0.10415594049190467</v>
      </c>
      <c r="F88" s="5">
        <f t="shared" si="3"/>
        <v>0.20831188098380934</v>
      </c>
      <c r="G88" s="49">
        <f>IF((('Raw Data'!C88)/('Raw Data'!C$135)*100)&lt;0,0,('Raw Data'!C88)/('Raw Data'!C$135)*100)</f>
        <v>69.085046352277317</v>
      </c>
      <c r="H88" s="49">
        <f t="shared" si="4"/>
        <v>1.4107214832728801</v>
      </c>
      <c r="I88" s="85">
        <f t="shared" si="5"/>
        <v>3.9238166489417359E-2</v>
      </c>
      <c r="J88" s="5">
        <f>'Raw Data'!F88/I88</f>
        <v>0.35952788050209872</v>
      </c>
      <c r="K88" s="24">
        <f t="shared" si="6"/>
        <v>1.5588614025759904</v>
      </c>
      <c r="L88" s="49">
        <f>A88*Table!$AC$9/$AC$16</f>
        <v>197.58834592444146</v>
      </c>
      <c r="M88" s="49">
        <f>A88*Table!$AD$9/$AC$16</f>
        <v>67.744575745522781</v>
      </c>
      <c r="N88" s="49">
        <f>ABS(A88*Table!$AE$9/$AC$16)</f>
        <v>85.558263531156882</v>
      </c>
      <c r="O88" s="49">
        <f>($L88*(Table!$AC$10/Table!$AC$9)/(Table!$AC$12-Table!$AC$14))</f>
        <v>423.82742583535281</v>
      </c>
      <c r="P88" s="49">
        <f>ROUND(($N88*(Table!$AE$10/Table!$AE$9)/(Table!$AC$12-Table!$AC$13)),2)</f>
        <v>702.45</v>
      </c>
      <c r="Q88" s="49">
        <f>'Raw Data'!C88</f>
        <v>1.0284</v>
      </c>
      <c r="R88" s="49">
        <f>'Raw Data'!C88/'Raw Data'!I$30*100</f>
        <v>9.5437600417367427</v>
      </c>
      <c r="S88" s="54">
        <f t="shared" si="7"/>
        <v>0.15813253012048145</v>
      </c>
      <c r="T88" s="54">
        <f t="shared" si="8"/>
        <v>4.3261208615974489E-3</v>
      </c>
      <c r="U88" s="91">
        <f t="shared" si="9"/>
        <v>1.0845435363459659E-2</v>
      </c>
      <c r="V88" s="91">
        <f t="shared" si="10"/>
        <v>0.18992212306037617</v>
      </c>
      <c r="W88" s="91">
        <f t="shared" si="11"/>
        <v>2.1443680227298218E-4</v>
      </c>
      <c r="X88" s="145">
        <f t="shared" si="12"/>
        <v>0.21407032345890384</v>
      </c>
      <c r="AS88" s="147"/>
      <c r="AT88" s="147"/>
    </row>
    <row r="89" spans="1:46" x14ac:dyDescent="0.2">
      <c r="A89" s="49">
        <v>963.4012451171875</v>
      </c>
      <c r="B89" s="111">
        <v>0.70462179228805588</v>
      </c>
      <c r="C89" s="111">
        <f t="shared" si="1"/>
        <v>0.29537820771194412</v>
      </c>
      <c r="D89" s="15">
        <f t="shared" si="2"/>
        <v>1.3771328765282753E-2</v>
      </c>
      <c r="E89" s="5">
        <f>(2*Table!$AC$16*0.147)/A89</f>
        <v>9.5136980287019224E-2</v>
      </c>
      <c r="F89" s="5">
        <f t="shared" si="3"/>
        <v>0.19027396057403845</v>
      </c>
      <c r="G89" s="49">
        <f>IF((('Raw Data'!C89)/('Raw Data'!C$135)*100)&lt;0,0,('Raw Data'!C89)/('Raw Data'!C$135)*100)</f>
        <v>70.462179228805581</v>
      </c>
      <c r="H89" s="49">
        <f t="shared" si="4"/>
        <v>1.3771328765282647</v>
      </c>
      <c r="I89" s="85">
        <f t="shared" si="5"/>
        <v>3.9334682302099355E-2</v>
      </c>
      <c r="J89" s="5">
        <f>'Raw Data'!F89/I89</f>
        <v>0.35010652074207183</v>
      </c>
      <c r="K89" s="24">
        <f t="shared" si="6"/>
        <v>1.7066410452801122</v>
      </c>
      <c r="L89" s="49">
        <f>A89*Table!$AC$9/$AC$16</f>
        <v>216.31966810289856</v>
      </c>
      <c r="M89" s="49">
        <f>A89*Table!$AD$9/$AC$16</f>
        <v>74.166743349565223</v>
      </c>
      <c r="N89" s="49">
        <f>ABS(A89*Table!$AE$9/$AC$16)</f>
        <v>93.669163957664239</v>
      </c>
      <c r="O89" s="49">
        <f>($L89*(Table!$AC$10/Table!$AC$9)/(Table!$AC$12-Table!$AC$14))</f>
        <v>464.00615208686958</v>
      </c>
      <c r="P89" s="49">
        <f>ROUND(($N89*(Table!$AE$10/Table!$AE$9)/(Table!$AC$12-Table!$AC$13)),2)</f>
        <v>769.04</v>
      </c>
      <c r="Q89" s="49">
        <f>'Raw Data'!C89</f>
        <v>1.0488999999999999</v>
      </c>
      <c r="R89" s="49">
        <f>'Raw Data'!C89/'Raw Data'!I$30*100</f>
        <v>9.7340041888153142</v>
      </c>
      <c r="S89" s="54">
        <f t="shared" si="7"/>
        <v>0.15436746987951733</v>
      </c>
      <c r="T89" s="54">
        <f t="shared" si="8"/>
        <v>3.5138045528384509E-3</v>
      </c>
      <c r="U89" s="91">
        <f t="shared" si="9"/>
        <v>1.0103790334660898E-2</v>
      </c>
      <c r="V89" s="91">
        <f t="shared" si="10"/>
        <v>0.16848292365909187</v>
      </c>
      <c r="W89" s="91">
        <f t="shared" si="11"/>
        <v>1.7464836490184408E-4</v>
      </c>
      <c r="X89" s="145">
        <f t="shared" si="12"/>
        <v>0.21424497182380567</v>
      </c>
      <c r="AS89" s="147"/>
      <c r="AT89" s="147"/>
    </row>
    <row r="90" spans="1:46" x14ac:dyDescent="0.2">
      <c r="A90" s="49">
        <v>1050.0135498046875</v>
      </c>
      <c r="B90" s="111">
        <v>0.71772134891844686</v>
      </c>
      <c r="C90" s="111">
        <f t="shared" si="1"/>
        <v>0.28227865108155314</v>
      </c>
      <c r="D90" s="15">
        <f t="shared" si="2"/>
        <v>1.3099556630390974E-2</v>
      </c>
      <c r="E90" s="5">
        <f>(2*Table!$AC$16*0.147)/A90</f>
        <v>8.7289430962345538E-2</v>
      </c>
      <c r="F90" s="5">
        <f t="shared" si="3"/>
        <v>0.17457886192469108</v>
      </c>
      <c r="G90" s="49">
        <f>IF((('Raw Data'!C90)/('Raw Data'!C$135)*100)&lt;0,0,('Raw Data'!C90)/('Raw Data'!C$135)*100)</f>
        <v>71.772134891844686</v>
      </c>
      <c r="H90" s="49">
        <f t="shared" si="4"/>
        <v>1.3099556630391049</v>
      </c>
      <c r="I90" s="85">
        <f t="shared" si="5"/>
        <v>3.7387700151060521E-2</v>
      </c>
      <c r="J90" s="5">
        <f>'Raw Data'!F90/I90</f>
        <v>0.35037075234539128</v>
      </c>
      <c r="K90" s="24">
        <f t="shared" si="6"/>
        <v>1.8600725619562344</v>
      </c>
      <c r="L90" s="49">
        <f>A90*Table!$AC$9/$AC$16</f>
        <v>235.7673749629287</v>
      </c>
      <c r="M90" s="49">
        <f>A90*Table!$AD$9/$AC$16</f>
        <v>80.834528558718418</v>
      </c>
      <c r="N90" s="49">
        <f>ABS(A90*Table!$AE$9/$AC$16)</f>
        <v>102.09026805073374</v>
      </c>
      <c r="O90" s="49">
        <f>($L90*(Table!$AC$10/Table!$AC$9)/(Table!$AC$12-Table!$AC$14))</f>
        <v>505.72152501700708</v>
      </c>
      <c r="P90" s="49">
        <f>ROUND(($N90*(Table!$AE$10/Table!$AE$9)/(Table!$AC$12-Table!$AC$13)),2)</f>
        <v>838.18</v>
      </c>
      <c r="Q90" s="49">
        <f>'Raw Data'!C90</f>
        <v>1.0684</v>
      </c>
      <c r="R90" s="49">
        <f>'Raw Data'!C90/'Raw Data'!I$30*100</f>
        <v>9.9149681335973714</v>
      </c>
      <c r="S90" s="54">
        <f t="shared" si="7"/>
        <v>0.14683734939759036</v>
      </c>
      <c r="T90" s="54">
        <f t="shared" si="8"/>
        <v>2.8633296834247313E-3</v>
      </c>
      <c r="U90" s="91">
        <f t="shared" si="9"/>
        <v>9.442704939799729E-3</v>
      </c>
      <c r="V90" s="91">
        <f t="shared" si="10"/>
        <v>0.15026607434505512</v>
      </c>
      <c r="W90" s="91">
        <f t="shared" si="11"/>
        <v>1.3985238401330639E-4</v>
      </c>
      <c r="X90" s="145">
        <f t="shared" si="12"/>
        <v>0.21438482420781899</v>
      </c>
      <c r="AS90" s="147"/>
      <c r="AT90" s="147"/>
    </row>
    <row r="91" spans="1:46" x14ac:dyDescent="0.2">
      <c r="A91" s="49">
        <v>1147.9376220703125</v>
      </c>
      <c r="B91" s="111">
        <v>0.73095525997581634</v>
      </c>
      <c r="C91" s="111">
        <f t="shared" si="1"/>
        <v>0.26904474002418366</v>
      </c>
      <c r="D91" s="15">
        <f t="shared" si="2"/>
        <v>1.3233911057369485E-2</v>
      </c>
      <c r="E91" s="5">
        <f>(2*Table!$AC$16*0.147)/A91</f>
        <v>7.984326282459768E-2</v>
      </c>
      <c r="F91" s="5">
        <f t="shared" si="3"/>
        <v>0.15968652564919536</v>
      </c>
      <c r="G91" s="49">
        <f>IF((('Raw Data'!C91)/('Raw Data'!C$135)*100)&lt;0,0,('Raw Data'!C91)/('Raw Data'!C$135)*100)</f>
        <v>73.095525997581632</v>
      </c>
      <c r="H91" s="49">
        <f t="shared" si="4"/>
        <v>1.3233911057369454</v>
      </c>
      <c r="I91" s="85">
        <f t="shared" si="5"/>
        <v>3.8723386099674517E-2</v>
      </c>
      <c r="J91" s="5">
        <f>'Raw Data'!F91/I91</f>
        <v>0.34175500622040694</v>
      </c>
      <c r="K91" s="24">
        <f t="shared" si="6"/>
        <v>2.0335425900431949</v>
      </c>
      <c r="L91" s="49">
        <f>A91*Table!$AC$9/$AC$16</f>
        <v>257.75499737793564</v>
      </c>
      <c r="M91" s="49">
        <f>A91*Table!$AD$9/$AC$16</f>
        <v>88.373141958149361</v>
      </c>
      <c r="N91" s="49">
        <f>ABS(A91*Table!$AE$9/$AC$16)</f>
        <v>111.61118784084182</v>
      </c>
      <c r="O91" s="49">
        <f>($L91*(Table!$AC$10/Table!$AC$9)/(Table!$AC$12-Table!$AC$14))</f>
        <v>552.88502226069431</v>
      </c>
      <c r="P91" s="49">
        <f>ROUND(($N91*(Table!$AE$10/Table!$AE$9)/(Table!$AC$12-Table!$AC$13)),2)</f>
        <v>916.35</v>
      </c>
      <c r="Q91" s="49">
        <f>'Raw Data'!C91</f>
        <v>1.0881000000000001</v>
      </c>
      <c r="R91" s="49">
        <f>'Raw Data'!C91/'Raw Data'!I$30*100</f>
        <v>10.09778811883873</v>
      </c>
      <c r="S91" s="54">
        <f t="shared" si="7"/>
        <v>0.1483433734939775</v>
      </c>
      <c r="T91" s="54">
        <f t="shared" si="8"/>
        <v>2.3135162264873443E-3</v>
      </c>
      <c r="U91" s="91">
        <f t="shared" si="9"/>
        <v>8.7964606479464524E-3</v>
      </c>
      <c r="V91" s="91">
        <f t="shared" si="10"/>
        <v>0.13329002919660957</v>
      </c>
      <c r="W91" s="91">
        <f t="shared" si="11"/>
        <v>1.1821013590362732E-4</v>
      </c>
      <c r="X91" s="145">
        <f t="shared" si="12"/>
        <v>0.21450303434372262</v>
      </c>
      <c r="AS91" s="147"/>
      <c r="AT91" s="147"/>
    </row>
    <row r="92" spans="1:46" x14ac:dyDescent="0.2">
      <c r="A92" s="49">
        <v>1258.552734375</v>
      </c>
      <c r="B92" s="111">
        <v>0.7437861077522504</v>
      </c>
      <c r="C92" s="111">
        <f t="shared" si="1"/>
        <v>0.2562138922477496</v>
      </c>
      <c r="D92" s="15">
        <f t="shared" si="2"/>
        <v>1.2830847776434062E-2</v>
      </c>
      <c r="E92" s="5">
        <f>(2*Table!$AC$16*0.147)/A92</f>
        <v>7.2825780566691756E-2</v>
      </c>
      <c r="F92" s="5">
        <f t="shared" si="3"/>
        <v>0.14565156113338351</v>
      </c>
      <c r="G92" s="49">
        <f>IF((('Raw Data'!C92)/('Raw Data'!C$135)*100)&lt;0,0,('Raw Data'!C92)/('Raw Data'!C$135)*100)</f>
        <v>74.378610775225042</v>
      </c>
      <c r="H92" s="49">
        <f t="shared" si="4"/>
        <v>1.2830847776434098</v>
      </c>
      <c r="I92" s="85">
        <f t="shared" si="5"/>
        <v>3.9953128035270069E-2</v>
      </c>
      <c r="J92" s="5">
        <f>'Raw Data'!F92/I92</f>
        <v>0.32114751478550485</v>
      </c>
      <c r="K92" s="24">
        <f t="shared" si="6"/>
        <v>2.2294944759725994</v>
      </c>
      <c r="L92" s="49">
        <f>A92*Table!$AC$9/$AC$16</f>
        <v>282.59223368232119</v>
      </c>
      <c r="M92" s="49">
        <f>A92*Table!$AD$9/$AC$16</f>
        <v>96.888765833938692</v>
      </c>
      <c r="N92" s="49">
        <f>ABS(A92*Table!$AE$9/$AC$16)</f>
        <v>122.36602664053932</v>
      </c>
      <c r="O92" s="49">
        <f>($L92*(Table!$AC$10/Table!$AC$9)/(Table!$AC$12-Table!$AC$14))</f>
        <v>606.16094740952644</v>
      </c>
      <c r="P92" s="49">
        <f>ROUND(($N92*(Table!$AE$10/Table!$AE$9)/(Table!$AC$12-Table!$AC$13)),2)</f>
        <v>1004.65</v>
      </c>
      <c r="Q92" s="49">
        <f>'Raw Data'!C92</f>
        <v>1.1072</v>
      </c>
      <c r="R92" s="49">
        <f>'Raw Data'!C92/'Raw Data'!I$30*100</f>
        <v>10.275039982702179</v>
      </c>
      <c r="S92" s="54">
        <f t="shared" si="7"/>
        <v>0.14382530120481732</v>
      </c>
      <c r="T92" s="54">
        <f t="shared" si="8"/>
        <v>1.8700339683567213E-3</v>
      </c>
      <c r="U92" s="91">
        <f t="shared" si="9"/>
        <v>8.1641711960562264E-3</v>
      </c>
      <c r="V92" s="91">
        <f t="shared" si="10"/>
        <v>0.11749415487374637</v>
      </c>
      <c r="W92" s="91">
        <f t="shared" si="11"/>
        <v>9.534888123053865E-5</v>
      </c>
      <c r="X92" s="145">
        <f t="shared" si="12"/>
        <v>0.21459838322495314</v>
      </c>
      <c r="AS92" s="147"/>
      <c r="AT92" s="147"/>
    </row>
    <row r="93" spans="1:46" x14ac:dyDescent="0.2">
      <c r="A93" s="49">
        <v>1378.177490234375</v>
      </c>
      <c r="B93" s="111">
        <v>0.75628106946123874</v>
      </c>
      <c r="C93" s="111">
        <f t="shared" si="1"/>
        <v>0.24371893053876126</v>
      </c>
      <c r="D93" s="15">
        <f t="shared" si="2"/>
        <v>1.2494961708988339E-2</v>
      </c>
      <c r="E93" s="5">
        <f>(2*Table!$AC$16*0.147)/A93</f>
        <v>6.6504558313179696E-2</v>
      </c>
      <c r="F93" s="5">
        <f t="shared" si="3"/>
        <v>0.13300911662635939</v>
      </c>
      <c r="G93" s="49">
        <f>IF((('Raw Data'!C93)/('Raw Data'!C$135)*100)&lt;0,0,('Raw Data'!C93)/('Raw Data'!C$135)*100)</f>
        <v>75.628106946123879</v>
      </c>
      <c r="H93" s="49">
        <f t="shared" si="4"/>
        <v>1.249496170898837</v>
      </c>
      <c r="I93" s="85">
        <f t="shared" si="5"/>
        <v>3.9433734752307936E-2</v>
      </c>
      <c r="J93" s="5">
        <f>'Raw Data'!F93/I93</f>
        <v>0.3168597087613429</v>
      </c>
      <c r="K93" s="24">
        <f t="shared" si="6"/>
        <v>2.4414067185775883</v>
      </c>
      <c r="L93" s="49">
        <f>A93*Table!$AC$9/$AC$16</f>
        <v>309.45247246189905</v>
      </c>
      <c r="M93" s="49">
        <f>A93*Table!$AD$9/$AC$16</f>
        <v>106.09799055836538</v>
      </c>
      <c r="N93" s="49">
        <f>ABS(A93*Table!$AE$9/$AC$16)</f>
        <v>133.99685120795451</v>
      </c>
      <c r="O93" s="49">
        <f>($L93*(Table!$AC$10/Table!$AC$9)/(Table!$AC$12-Table!$AC$14))</f>
        <v>663.77621720699074</v>
      </c>
      <c r="P93" s="49">
        <f>ROUND(($N93*(Table!$AE$10/Table!$AE$9)/(Table!$AC$12-Table!$AC$13)),2)</f>
        <v>1100.1400000000001</v>
      </c>
      <c r="Q93" s="49">
        <f>'Raw Data'!C93</f>
        <v>1.1257999999999999</v>
      </c>
      <c r="R93" s="49">
        <f>'Raw Data'!C93/'Raw Data'!I$30*100</f>
        <v>10.447651745417371</v>
      </c>
      <c r="S93" s="54">
        <f t="shared" si="7"/>
        <v>0.14006024096385569</v>
      </c>
      <c r="T93" s="54">
        <f t="shared" si="8"/>
        <v>1.5098798729012985E-3</v>
      </c>
      <c r="U93" s="91">
        <f t="shared" si="9"/>
        <v>7.5807737533433572E-3</v>
      </c>
      <c r="V93" s="91">
        <f t="shared" si="10"/>
        <v>0.10364980372901726</v>
      </c>
      <c r="W93" s="91">
        <f t="shared" si="11"/>
        <v>7.7433289478180496E-5</v>
      </c>
      <c r="X93" s="145">
        <f t="shared" si="12"/>
        <v>0.21467581651443132</v>
      </c>
      <c r="AS93" s="147"/>
      <c r="AT93" s="147"/>
    </row>
    <row r="94" spans="1:46" x14ac:dyDescent="0.2">
      <c r="A94" s="49">
        <v>1507.92822265625</v>
      </c>
      <c r="B94" s="111">
        <v>0.76830579067580274</v>
      </c>
      <c r="C94" s="111">
        <f t="shared" si="1"/>
        <v>0.23169420932419726</v>
      </c>
      <c r="D94" s="15">
        <f t="shared" si="2"/>
        <v>1.2024721214563994E-2</v>
      </c>
      <c r="E94" s="5">
        <f>(2*Table!$AC$16*0.147)/A94</f>
        <v>6.0782127350697844E-2</v>
      </c>
      <c r="F94" s="5">
        <f t="shared" si="3"/>
        <v>0.12156425470139569</v>
      </c>
      <c r="G94" s="49">
        <f>IF((('Raw Data'!C94)/('Raw Data'!C$135)*100)&lt;0,0,('Raw Data'!C94)/('Raw Data'!C$135)*100)</f>
        <v>76.830579067580274</v>
      </c>
      <c r="H94" s="49">
        <f t="shared" si="4"/>
        <v>1.2024721214563954</v>
      </c>
      <c r="I94" s="85">
        <f t="shared" si="5"/>
        <v>3.9075517312691765E-2</v>
      </c>
      <c r="J94" s="5">
        <f>'Raw Data'!F94/I94</f>
        <v>0.30773031405673423</v>
      </c>
      <c r="K94" s="24">
        <f t="shared" si="6"/>
        <v>2.6712568736699178</v>
      </c>
      <c r="L94" s="49">
        <f>A94*Table!$AC$9/$AC$16</f>
        <v>338.5863722942517</v>
      </c>
      <c r="M94" s="49">
        <f>A94*Table!$AD$9/$AC$16</f>
        <v>116.08675621517202</v>
      </c>
      <c r="N94" s="49">
        <f>ABS(A94*Table!$AE$9/$AC$16)</f>
        <v>146.61219989101883</v>
      </c>
      <c r="O94" s="49">
        <f>($L94*(Table!$AC$10/Table!$AC$9)/(Table!$AC$12-Table!$AC$14))</f>
        <v>726.26849483966475</v>
      </c>
      <c r="P94" s="49">
        <f>ROUND(($N94*(Table!$AE$10/Table!$AE$9)/(Table!$AC$12-Table!$AC$13)),2)</f>
        <v>1203.71</v>
      </c>
      <c r="Q94" s="49">
        <f>'Raw Data'!C94</f>
        <v>1.1436999999999999</v>
      </c>
      <c r="R94" s="49">
        <f>'Raw Data'!C94/'Raw Data'!I$30*100</f>
        <v>10.613767366525002</v>
      </c>
      <c r="S94" s="54">
        <f t="shared" si="7"/>
        <v>0.1347891566265057</v>
      </c>
      <c r="T94" s="54">
        <f t="shared" si="8"/>
        <v>1.2203606463995209E-3</v>
      </c>
      <c r="U94" s="91">
        <f t="shared" si="9"/>
        <v>7.0386422954725313E-3</v>
      </c>
      <c r="V94" s="91">
        <f t="shared" si="10"/>
        <v>9.1427452078762669E-2</v>
      </c>
      <c r="W94" s="91">
        <f t="shared" si="11"/>
        <v>6.2246761478208126E-5</v>
      </c>
      <c r="X94" s="145">
        <f t="shared" si="12"/>
        <v>0.21473806327590952</v>
      </c>
      <c r="AS94" s="147"/>
      <c r="AT94" s="147"/>
    </row>
    <row r="95" spans="1:46" x14ac:dyDescent="0.2">
      <c r="A95" s="49">
        <v>1647.707275390625</v>
      </c>
      <c r="B95" s="111">
        <v>0.77979309418245335</v>
      </c>
      <c r="C95" s="111">
        <f t="shared" si="1"/>
        <v>0.22020690581754665</v>
      </c>
      <c r="D95" s="15">
        <f t="shared" si="2"/>
        <v>1.1487303506650615E-2</v>
      </c>
      <c r="E95" s="5">
        <f>(2*Table!$AC$16*0.147)/A95</f>
        <v>5.562583028801326E-2</v>
      </c>
      <c r="F95" s="5">
        <f t="shared" si="3"/>
        <v>0.11125166057602652</v>
      </c>
      <c r="G95" s="49">
        <f>IF((('Raw Data'!C95)/('Raw Data'!C$135)*100)&lt;0,0,('Raw Data'!C95)/('Raw Data'!C$135)*100)</f>
        <v>77.979309418245336</v>
      </c>
      <c r="H95" s="49">
        <f t="shared" si="4"/>
        <v>1.1487303506650619</v>
      </c>
      <c r="I95" s="85">
        <f t="shared" si="5"/>
        <v>3.8499389698513964E-2</v>
      </c>
      <c r="J95" s="5">
        <f>'Raw Data'!F95/I95</f>
        <v>0.29837624950958669</v>
      </c>
      <c r="K95" s="24">
        <f t="shared" si="6"/>
        <v>2.9188719456618997</v>
      </c>
      <c r="L95" s="49">
        <f>A95*Table!$AC$9/$AC$16</f>
        <v>369.97200569309535</v>
      </c>
      <c r="M95" s="49">
        <f>A95*Table!$AD$9/$AC$16</f>
        <v>126.84754480906128</v>
      </c>
      <c r="N95" s="49">
        <f>ABS(A95*Table!$AE$9/$AC$16)</f>
        <v>160.20257780965079</v>
      </c>
      <c r="O95" s="49">
        <f>($L95*(Table!$AC$10/Table!$AC$9)/(Table!$AC$12-Table!$AC$14))</f>
        <v>793.59074580243544</v>
      </c>
      <c r="P95" s="49">
        <f>ROUND(($N95*(Table!$AE$10/Table!$AE$9)/(Table!$AC$12-Table!$AC$13)),2)</f>
        <v>1315.29</v>
      </c>
      <c r="Q95" s="49">
        <f>'Raw Data'!C95</f>
        <v>1.1608000000000001</v>
      </c>
      <c r="R95" s="49">
        <f>'Raw Data'!C95/'Raw Data'!I$30*100</f>
        <v>10.772458825795422</v>
      </c>
      <c r="S95" s="54">
        <f t="shared" si="7"/>
        <v>0.12876506024096462</v>
      </c>
      <c r="T95" s="54">
        <f t="shared" si="8"/>
        <v>9.8871629748431555E-4</v>
      </c>
      <c r="U95" s="91">
        <f t="shared" si="9"/>
        <v>6.5378474603394439E-3</v>
      </c>
      <c r="V95" s="91">
        <f t="shared" si="10"/>
        <v>8.069992192968356E-2</v>
      </c>
      <c r="W95" s="91">
        <f t="shared" si="11"/>
        <v>4.980363725381015E-5</v>
      </c>
      <c r="X95" s="145">
        <f t="shared" si="12"/>
        <v>0.21478786691316334</v>
      </c>
      <c r="Z95" s="104"/>
      <c r="AS95" s="147"/>
      <c r="AT95" s="147"/>
    </row>
    <row r="96" spans="1:46" x14ac:dyDescent="0.2">
      <c r="A96" s="49">
        <v>1807.1123046875</v>
      </c>
      <c r="B96" s="111">
        <v>0.7914819293295714</v>
      </c>
      <c r="C96" s="111">
        <f t="shared" si="1"/>
        <v>0.2085180706704286</v>
      </c>
      <c r="D96" s="15">
        <f t="shared" si="2"/>
        <v>1.1688835147118048E-2</v>
      </c>
      <c r="E96" s="5">
        <f>(2*Table!$AC$16*0.147)/A96</f>
        <v>5.0719086482593205E-2</v>
      </c>
      <c r="F96" s="5">
        <f t="shared" si="3"/>
        <v>0.10143817296518641</v>
      </c>
      <c r="G96" s="49">
        <f>IF((('Raw Data'!C96)/('Raw Data'!C$135)*100)&lt;0,0,('Raw Data'!C96)/('Raw Data'!C$135)*100)</f>
        <v>79.148192932957144</v>
      </c>
      <c r="H96" s="49">
        <f t="shared" si="4"/>
        <v>1.1688835147118084</v>
      </c>
      <c r="I96" s="85">
        <f t="shared" si="5"/>
        <v>4.0105083718804169E-2</v>
      </c>
      <c r="J96" s="5">
        <f>'Raw Data'!F96/I96</f>
        <v>0.29145519877415133</v>
      </c>
      <c r="K96" s="24">
        <f t="shared" si="6"/>
        <v>3.2012539409114846</v>
      </c>
      <c r="L96" s="49">
        <f>A96*Table!$AC$9/$AC$16</f>
        <v>405.76440601040906</v>
      </c>
      <c r="M96" s="49">
        <f>A96*Table!$AD$9/$AC$16</f>
        <v>139.11922491785452</v>
      </c>
      <c r="N96" s="49">
        <f>ABS(A96*Table!$AE$9/$AC$16)</f>
        <v>175.70114177825872</v>
      </c>
      <c r="O96" s="49">
        <f>($L96*(Table!$AC$10/Table!$AC$9)/(Table!$AC$12-Table!$AC$14))</f>
        <v>870.36552125784874</v>
      </c>
      <c r="P96" s="49">
        <f>ROUND(($N96*(Table!$AE$10/Table!$AE$9)/(Table!$AC$12-Table!$AC$13)),2)</f>
        <v>1442.54</v>
      </c>
      <c r="Q96" s="49">
        <f>'Raw Data'!C96</f>
        <v>1.1781999999999999</v>
      </c>
      <c r="R96" s="49">
        <f>'Raw Data'!C96/'Raw Data'!I$30*100</f>
        <v>10.933934345754794</v>
      </c>
      <c r="S96" s="54">
        <f t="shared" si="7"/>
        <v>0.13102409638554158</v>
      </c>
      <c r="T96" s="54">
        <f t="shared" si="8"/>
        <v>7.9275753854768372E-4</v>
      </c>
      <c r="U96" s="91">
        <f t="shared" si="9"/>
        <v>6.0505007449692377E-3</v>
      </c>
      <c r="V96" s="91">
        <f t="shared" si="10"/>
        <v>7.0791646866935787E-2</v>
      </c>
      <c r="W96" s="91">
        <f t="shared" si="11"/>
        <v>4.2131219658452913E-5</v>
      </c>
      <c r="X96" s="145">
        <f t="shared" si="12"/>
        <v>0.2148299981328218</v>
      </c>
      <c r="Z96" s="109"/>
      <c r="AS96" s="147"/>
      <c r="AT96" s="147"/>
    </row>
    <row r="97" spans="1:46" x14ac:dyDescent="0.2">
      <c r="A97" s="49">
        <v>1978.6900634765625</v>
      </c>
      <c r="B97" s="111">
        <v>0.80169286577992749</v>
      </c>
      <c r="C97" s="111">
        <f t="shared" si="1"/>
        <v>0.19830713422007251</v>
      </c>
      <c r="D97" s="15">
        <f t="shared" si="2"/>
        <v>1.021093645035609E-2</v>
      </c>
      <c r="E97" s="5">
        <f>(2*Table!$AC$16*0.147)/A97</f>
        <v>4.6321092401993197E-2</v>
      </c>
      <c r="F97" s="5">
        <f t="shared" si="3"/>
        <v>9.2642184803986394E-2</v>
      </c>
      <c r="G97" s="49">
        <f>IF((('Raw Data'!C97)/('Raw Data'!C$135)*100)&lt;0,0,('Raw Data'!C97)/('Raw Data'!C$135)*100)</f>
        <v>80.16928657799275</v>
      </c>
      <c r="H97" s="49">
        <f t="shared" si="4"/>
        <v>1.0210936450356058</v>
      </c>
      <c r="I97" s="85">
        <f t="shared" si="5"/>
        <v>3.9392629813370439E-2</v>
      </c>
      <c r="J97" s="5">
        <f>'Raw Data'!F97/I97</f>
        <v>0.25920931145577764</v>
      </c>
      <c r="K97" s="24">
        <f t="shared" si="6"/>
        <v>3.5051996199218602</v>
      </c>
      <c r="L97" s="49">
        <f>A97*Table!$AC$9/$AC$16</f>
        <v>444.29004008364973</v>
      </c>
      <c r="M97" s="49">
        <f>A97*Table!$AD$9/$AC$16</f>
        <v>152.32801374296562</v>
      </c>
      <c r="N97" s="49">
        <f>ABS(A97*Table!$AE$9/$AC$16)</f>
        <v>192.38323068042359</v>
      </c>
      <c r="O97" s="49">
        <f>($L97*(Table!$AC$10/Table!$AC$9)/(Table!$AC$12-Table!$AC$14))</f>
        <v>953.00308898251774</v>
      </c>
      <c r="P97" s="49">
        <f>ROUND(($N97*(Table!$AE$10/Table!$AE$9)/(Table!$AC$12-Table!$AC$13)),2)</f>
        <v>1579.5</v>
      </c>
      <c r="Q97" s="49">
        <f>'Raw Data'!C97</f>
        <v>1.1934</v>
      </c>
      <c r="R97" s="49">
        <f>'Raw Data'!C97/'Raw Data'!I$30*100</f>
        <v>11.074993420661833</v>
      </c>
      <c r="S97" s="54">
        <f t="shared" si="7"/>
        <v>0.11445783132530174</v>
      </c>
      <c r="T97" s="54">
        <f t="shared" si="8"/>
        <v>6.4997544013811748E-4</v>
      </c>
      <c r="U97" s="91">
        <f t="shared" si="9"/>
        <v>5.5971339954085826E-3</v>
      </c>
      <c r="V97" s="91">
        <f t="shared" si="10"/>
        <v>6.2055874655817182E-2</v>
      </c>
      <c r="W97" s="91">
        <f t="shared" si="11"/>
        <v>3.0698214175426231E-5</v>
      </c>
      <c r="X97" s="145">
        <f t="shared" si="12"/>
        <v>0.21486069634699723</v>
      </c>
      <c r="Z97" s="111"/>
      <c r="AS97" s="147"/>
      <c r="AT97" s="147"/>
    </row>
    <row r="98" spans="1:46" x14ac:dyDescent="0.2">
      <c r="A98" s="49">
        <v>2157.361572265625</v>
      </c>
      <c r="B98" s="111">
        <v>0.81176944780330507</v>
      </c>
      <c r="C98" s="111">
        <f t="shared" si="1"/>
        <v>0.18823055219669493</v>
      </c>
      <c r="D98" s="15">
        <f t="shared" si="2"/>
        <v>1.0076582023377578E-2</v>
      </c>
      <c r="E98" s="5">
        <f>(2*Table!$AC$16*0.147)/A98</f>
        <v>4.2484804792804851E-2</v>
      </c>
      <c r="F98" s="5">
        <f t="shared" si="3"/>
        <v>8.4969609585609701E-2</v>
      </c>
      <c r="G98" s="49">
        <f>IF((('Raw Data'!C98)/('Raw Data'!C$135)*100)&lt;0,0,('Raw Data'!C98)/('Raw Data'!C$135)*100)</f>
        <v>81.176944780330501</v>
      </c>
      <c r="H98" s="49">
        <f t="shared" si="4"/>
        <v>1.0076582023377512</v>
      </c>
      <c r="I98" s="85">
        <f t="shared" si="5"/>
        <v>3.7545165798660074E-2</v>
      </c>
      <c r="J98" s="5">
        <f>'Raw Data'!F98/I98</f>
        <v>0.26838560461856303</v>
      </c>
      <c r="K98" s="24">
        <f t="shared" si="6"/>
        <v>3.8217116984218715</v>
      </c>
      <c r="L98" s="49">
        <f>A98*Table!$AC$9/$AC$16</f>
        <v>484.40848676055089</v>
      </c>
      <c r="M98" s="49">
        <f>A98*Table!$AD$9/$AC$16</f>
        <v>166.0829097464746</v>
      </c>
      <c r="N98" s="49">
        <f>ABS(A98*Table!$AE$9/$AC$16)</f>
        <v>209.7550276717075</v>
      </c>
      <c r="O98" s="49">
        <f>($L98*(Table!$AC$10/Table!$AC$9)/(Table!$AC$12-Table!$AC$14))</f>
        <v>1039.0572431586249</v>
      </c>
      <c r="P98" s="49">
        <f>ROUND(($N98*(Table!$AE$10/Table!$AE$9)/(Table!$AC$12-Table!$AC$13)),2)</f>
        <v>1722.13</v>
      </c>
      <c r="Q98" s="49">
        <f>'Raw Data'!C98</f>
        <v>1.2083999999999999</v>
      </c>
      <c r="R98" s="49">
        <f>'Raw Data'!C98/'Raw Data'!I$30*100</f>
        <v>11.214196455109567</v>
      </c>
      <c r="S98" s="54">
        <f t="shared" si="7"/>
        <v>0.11295180722891461</v>
      </c>
      <c r="T98" s="54">
        <f t="shared" si="8"/>
        <v>5.3144467173360521E-4</v>
      </c>
      <c r="U98" s="91">
        <f t="shared" si="9"/>
        <v>5.1981070763824746E-3</v>
      </c>
      <c r="V98" s="91">
        <f t="shared" si="10"/>
        <v>5.4760469749424612E-2</v>
      </c>
      <c r="W98" s="91">
        <f t="shared" si="11"/>
        <v>2.5484167520934447E-5</v>
      </c>
      <c r="X98" s="145">
        <f t="shared" si="12"/>
        <v>0.21488618051451816</v>
      </c>
      <c r="Z98" s="111"/>
      <c r="AS98" s="147"/>
      <c r="AT98" s="147"/>
    </row>
    <row r="99" spans="1:46" x14ac:dyDescent="0.2">
      <c r="A99" s="49">
        <v>2369.808837890625</v>
      </c>
      <c r="B99" s="111">
        <v>0.8224506247480855</v>
      </c>
      <c r="C99" s="111">
        <f t="shared" si="1"/>
        <v>0.1775493752519145</v>
      </c>
      <c r="D99" s="15">
        <f t="shared" si="2"/>
        <v>1.0681176944780435E-2</v>
      </c>
      <c r="E99" s="5">
        <f>(2*Table!$AC$16*0.147)/A99</f>
        <v>3.8676151341720096E-2</v>
      </c>
      <c r="F99" s="5">
        <f t="shared" si="3"/>
        <v>7.7352302683440191E-2</v>
      </c>
      <c r="G99" s="49">
        <f>IF((('Raw Data'!C99)/('Raw Data'!C$135)*100)&lt;0,0,('Raw Data'!C99)/('Raw Data'!C$135)*100)</f>
        <v>82.245062474808549</v>
      </c>
      <c r="H99" s="49">
        <f t="shared" si="4"/>
        <v>1.0681176944780475</v>
      </c>
      <c r="I99" s="85">
        <f t="shared" si="5"/>
        <v>4.0790376138309048E-2</v>
      </c>
      <c r="J99" s="5">
        <f>'Raw Data'!F99/I99</f>
        <v>0.26185531872918932</v>
      </c>
      <c r="K99" s="24">
        <f t="shared" si="6"/>
        <v>4.1980566796130141</v>
      </c>
      <c r="L99" s="49">
        <f>A99*Table!$AC$9/$AC$16</f>
        <v>532.11085607166615</v>
      </c>
      <c r="M99" s="49">
        <f>A99*Table!$AD$9/$AC$16</f>
        <v>182.43800779599982</v>
      </c>
      <c r="N99" s="49">
        <f>ABS(A99*Table!$AE$9/$AC$16)</f>
        <v>230.41075949377398</v>
      </c>
      <c r="O99" s="49">
        <f>($L99*(Table!$AC$10/Table!$AC$9)/(Table!$AC$12-Table!$AC$14))</f>
        <v>1141.3789276526518</v>
      </c>
      <c r="P99" s="49">
        <f>ROUND(($N99*(Table!$AE$10/Table!$AE$9)/(Table!$AC$12-Table!$AC$13)),2)</f>
        <v>1891.71</v>
      </c>
      <c r="Q99" s="49">
        <f>'Raw Data'!C99</f>
        <v>1.2242999999999999</v>
      </c>
      <c r="R99" s="49">
        <f>'Raw Data'!C99/'Raw Data'!I$30*100</f>
        <v>11.361751671624168</v>
      </c>
      <c r="S99" s="54">
        <f t="shared" si="7"/>
        <v>0.11972891566265174</v>
      </c>
      <c r="T99" s="54">
        <f t="shared" si="8"/>
        <v>4.2731938440809802E-4</v>
      </c>
      <c r="U99" s="91">
        <f t="shared" si="9"/>
        <v>4.7943747571375008E-3</v>
      </c>
      <c r="V99" s="91">
        <f t="shared" si="10"/>
        <v>4.7762898112757621E-2</v>
      </c>
      <c r="W99" s="91">
        <f t="shared" si="11"/>
        <v>2.2386982731044482E-5</v>
      </c>
      <c r="X99" s="145">
        <f t="shared" si="12"/>
        <v>0.21490856749724921</v>
      </c>
      <c r="Z99" s="111"/>
      <c r="AS99" s="147"/>
      <c r="AT99" s="147"/>
    </row>
    <row r="100" spans="1:46" x14ac:dyDescent="0.2">
      <c r="A100" s="49">
        <v>2585.778076171875</v>
      </c>
      <c r="B100" s="111">
        <v>0.83205696627703885</v>
      </c>
      <c r="C100" s="111">
        <f t="shared" si="1"/>
        <v>0.16794303372296115</v>
      </c>
      <c r="D100" s="15">
        <f t="shared" si="2"/>
        <v>9.6063415289533438E-3</v>
      </c>
      <c r="E100" s="5">
        <f>(2*Table!$AC$16*0.147)/A100</f>
        <v>3.5445843597256714E-2</v>
      </c>
      <c r="F100" s="5">
        <f t="shared" si="3"/>
        <v>7.0891687194513428E-2</v>
      </c>
      <c r="G100" s="49">
        <f>IF((('Raw Data'!C100)/('Raw Data'!C$135)*100)&lt;0,0,('Raw Data'!C100)/('Raw Data'!C$135)*100)</f>
        <v>83.205696627703887</v>
      </c>
      <c r="H100" s="49">
        <f t="shared" si="4"/>
        <v>0.96063415289533793</v>
      </c>
      <c r="I100" s="85">
        <f t="shared" si="5"/>
        <v>3.7877934128994983E-2</v>
      </c>
      <c r="J100" s="5">
        <f>'Raw Data'!F100/I100</f>
        <v>0.25361313254937617</v>
      </c>
      <c r="K100" s="24">
        <f t="shared" si="6"/>
        <v>4.5806407466741152</v>
      </c>
      <c r="L100" s="49">
        <f>A100*Table!$AC$9/$AC$16</f>
        <v>580.60404017560927</v>
      </c>
      <c r="M100" s="49">
        <f>A100*Table!$AD$9/$AC$16</f>
        <v>199.06424234592319</v>
      </c>
      <c r="N100" s="49">
        <f>ABS(A100*Table!$AE$9/$AC$16)</f>
        <v>251.40892416597922</v>
      </c>
      <c r="O100" s="49">
        <f>($L100*(Table!$AC$10/Table!$AC$9)/(Table!$AC$12-Table!$AC$14))</f>
        <v>1245.3969115735938</v>
      </c>
      <c r="P100" s="49">
        <f>ROUND(($N100*(Table!$AE$10/Table!$AE$9)/(Table!$AC$12-Table!$AC$13)),2)</f>
        <v>2064.11</v>
      </c>
      <c r="Q100" s="49">
        <f>'Raw Data'!C100</f>
        <v>1.2385999999999999</v>
      </c>
      <c r="R100" s="49">
        <f>'Raw Data'!C100/'Raw Data'!I$30*100</f>
        <v>11.494458564464342</v>
      </c>
      <c r="S100" s="54">
        <f t="shared" si="7"/>
        <v>0.10768072289156584</v>
      </c>
      <c r="T100" s="54">
        <f t="shared" si="8"/>
        <v>3.4866204401584611E-4</v>
      </c>
      <c r="U100" s="91">
        <f t="shared" si="9"/>
        <v>4.445261049425153E-3</v>
      </c>
      <c r="V100" s="91">
        <f t="shared" si="10"/>
        <v>4.2030753855480024E-2</v>
      </c>
      <c r="W100" s="91">
        <f t="shared" si="11"/>
        <v>1.6911362900030943E-5</v>
      </c>
      <c r="X100" s="145">
        <f t="shared" si="12"/>
        <v>0.21492547886014923</v>
      </c>
      <c r="Z100" s="111"/>
      <c r="AS100" s="147"/>
      <c r="AT100" s="147"/>
    </row>
    <row r="101" spans="1:46" x14ac:dyDescent="0.2">
      <c r="A101" s="49">
        <v>2828.619384765625</v>
      </c>
      <c r="B101" s="111">
        <v>0.84152895337901379</v>
      </c>
      <c r="C101" s="111">
        <f t="shared" si="1"/>
        <v>0.15847104662098621</v>
      </c>
      <c r="D101" s="15">
        <f t="shared" si="2"/>
        <v>9.4719871019749435E-3</v>
      </c>
      <c r="E101" s="5">
        <f>(2*Table!$AC$16*0.147)/A101</f>
        <v>3.2402763609285679E-2</v>
      </c>
      <c r="F101" s="5">
        <f t="shared" si="3"/>
        <v>6.4805527218571357E-2</v>
      </c>
      <c r="G101" s="49">
        <f>IF((('Raw Data'!C101)/('Raw Data'!C$135)*100)&lt;0,0,('Raw Data'!C101)/('Raw Data'!C$135)*100)</f>
        <v>84.152895337901384</v>
      </c>
      <c r="H101" s="49">
        <f t="shared" si="4"/>
        <v>0.94719871019749746</v>
      </c>
      <c r="I101" s="85">
        <f t="shared" si="5"/>
        <v>3.8983264388259498E-2</v>
      </c>
      <c r="J101" s="5">
        <f>'Raw Data'!F101/I101</f>
        <v>0.24297572947296842</v>
      </c>
      <c r="K101" s="24">
        <f t="shared" si="6"/>
        <v>5.0108280095992486</v>
      </c>
      <c r="L101" s="49">
        <f>A101*Table!$AC$9/$AC$16</f>
        <v>635.13101068028584</v>
      </c>
      <c r="M101" s="49">
        <f>A101*Table!$AD$9/$AC$16</f>
        <v>217.75920366181228</v>
      </c>
      <c r="N101" s="49">
        <f>ABS(A101*Table!$AE$9/$AC$16)</f>
        <v>275.01979499020661</v>
      </c>
      <c r="O101" s="49">
        <f>($L101*(Table!$AC$10/Table!$AC$9)/(Table!$AC$12-Table!$AC$14))</f>
        <v>1362.3573802665935</v>
      </c>
      <c r="P101" s="49">
        <f>ROUND(($N101*(Table!$AE$10/Table!$AE$9)/(Table!$AC$12-Table!$AC$13)),2)</f>
        <v>2257.96</v>
      </c>
      <c r="Q101" s="49">
        <f>'Raw Data'!C101</f>
        <v>1.2526999999999999</v>
      </c>
      <c r="R101" s="49">
        <f>'Raw Data'!C101/'Raw Data'!I$30*100</f>
        <v>11.625309416845212</v>
      </c>
      <c r="S101" s="54">
        <f t="shared" si="7"/>
        <v>0.10617469879517995</v>
      </c>
      <c r="T101" s="54">
        <f t="shared" si="8"/>
        <v>2.8384998718866683E-4</v>
      </c>
      <c r="U101" s="91">
        <f t="shared" si="9"/>
        <v>4.1098881947344316E-3</v>
      </c>
      <c r="V101" s="91">
        <f t="shared" si="10"/>
        <v>3.6809459325657358E-2</v>
      </c>
      <c r="W101" s="91">
        <f t="shared" si="11"/>
        <v>1.3934620822873958E-5</v>
      </c>
      <c r="X101" s="145">
        <f t="shared" si="12"/>
        <v>0.21493941348097212</v>
      </c>
      <c r="Z101" s="111"/>
      <c r="AS101" s="147"/>
      <c r="AT101" s="147"/>
    </row>
    <row r="102" spans="1:46" x14ac:dyDescent="0.2">
      <c r="A102" s="49">
        <v>3100.37841796875</v>
      </c>
      <c r="B102" s="111">
        <v>0.8513368265484349</v>
      </c>
      <c r="C102" s="111">
        <f t="shared" si="1"/>
        <v>0.1486631734515651</v>
      </c>
      <c r="D102" s="15">
        <f t="shared" si="2"/>
        <v>9.8078731694211108E-3</v>
      </c>
      <c r="E102" s="5">
        <f>(2*Table!$AC$16*0.147)/A102</f>
        <v>2.9562547827710839E-2</v>
      </c>
      <c r="F102" s="5">
        <f t="shared" si="3"/>
        <v>5.9125095655421678E-2</v>
      </c>
      <c r="G102" s="49">
        <f>IF((('Raw Data'!C102)/('Raw Data'!C$135)*100)&lt;0,0,('Raw Data'!C102)/('Raw Data'!C$135)*100)</f>
        <v>85.133682654843483</v>
      </c>
      <c r="H102" s="49">
        <f t="shared" si="4"/>
        <v>0.98078731694209864</v>
      </c>
      <c r="I102" s="85">
        <f t="shared" si="5"/>
        <v>3.9840191757177568E-2</v>
      </c>
      <c r="J102" s="5">
        <f>'Raw Data'!F102/I102</f>
        <v>0.24618037054638761</v>
      </c>
      <c r="K102" s="24">
        <f t="shared" si="6"/>
        <v>5.4922422934615014</v>
      </c>
      <c r="L102" s="49">
        <f>A102*Table!$AC$9/$AC$16</f>
        <v>696.15109360462725</v>
      </c>
      <c r="M102" s="49">
        <f>A102*Table!$AD$9/$AC$16</f>
        <v>238.68037495015793</v>
      </c>
      <c r="N102" s="49">
        <f>ABS(A102*Table!$AE$9/$AC$16)</f>
        <v>301.44226596696296</v>
      </c>
      <c r="O102" s="49">
        <f>($L102*(Table!$AC$10/Table!$AC$9)/(Table!$AC$12-Table!$AC$14))</f>
        <v>1493.2455890275148</v>
      </c>
      <c r="P102" s="49">
        <f>ROUND(($N102*(Table!$AE$10/Table!$AE$9)/(Table!$AC$12-Table!$AC$13)),2)</f>
        <v>2474.9</v>
      </c>
      <c r="Q102" s="49">
        <f>'Raw Data'!C102</f>
        <v>1.2673000000000001</v>
      </c>
      <c r="R102" s="49">
        <f>'Raw Data'!C102/'Raw Data'!I$30*100</f>
        <v>11.760800370374344</v>
      </c>
      <c r="S102" s="54">
        <f t="shared" si="7"/>
        <v>0.10993975903614656</v>
      </c>
      <c r="T102" s="54">
        <f t="shared" si="8"/>
        <v>2.2798892831166206E-4</v>
      </c>
      <c r="U102" s="91">
        <f t="shared" si="9"/>
        <v>3.7933435164600239E-3</v>
      </c>
      <c r="V102" s="91">
        <f t="shared" si="10"/>
        <v>3.2143960857655501E-2</v>
      </c>
      <c r="W102" s="91">
        <f t="shared" si="11"/>
        <v>1.2010152313026465E-5</v>
      </c>
      <c r="X102" s="145">
        <f t="shared" si="12"/>
        <v>0.21495142363328515</v>
      </c>
      <c r="Z102" s="111"/>
      <c r="AS102" s="147"/>
      <c r="AT102" s="147"/>
    </row>
    <row r="103" spans="1:46" x14ac:dyDescent="0.2">
      <c r="A103" s="49">
        <v>3386.87060546875</v>
      </c>
      <c r="B103" s="111">
        <v>0.86054010479645304</v>
      </c>
      <c r="C103" s="111">
        <f t="shared" si="1"/>
        <v>0.13945989520354696</v>
      </c>
      <c r="D103" s="15">
        <f t="shared" si="2"/>
        <v>9.203278248018143E-3</v>
      </c>
      <c r="E103" s="5">
        <f>(2*Table!$AC$16*0.147)/A103</f>
        <v>2.7061879812358046E-2</v>
      </c>
      <c r="F103" s="5">
        <f t="shared" si="3"/>
        <v>5.4123759624716092E-2</v>
      </c>
      <c r="G103" s="49">
        <f>IF((('Raw Data'!C103)/('Raw Data'!C$135)*100)&lt;0,0,('Raw Data'!C103)/('Raw Data'!C$135)*100)</f>
        <v>86.054010479645299</v>
      </c>
      <c r="H103" s="49">
        <f t="shared" si="4"/>
        <v>0.92032782480181652</v>
      </c>
      <c r="I103" s="85">
        <f t="shared" si="5"/>
        <v>3.838389978928336E-2</v>
      </c>
      <c r="J103" s="5">
        <f>'Raw Data'!F103/I103</f>
        <v>0.23976923393770591</v>
      </c>
      <c r="K103" s="24">
        <f t="shared" si="6"/>
        <v>5.9997559891492331</v>
      </c>
      <c r="L103" s="49">
        <f>A103*Table!$AC$9/$AC$16</f>
        <v>760.47932156590105</v>
      </c>
      <c r="M103" s="49">
        <f>A103*Table!$AD$9/$AC$16</f>
        <v>260.73576739402318</v>
      </c>
      <c r="N103" s="49">
        <f>ABS(A103*Table!$AE$9/$AC$16)</f>
        <v>329.29720576441275</v>
      </c>
      <c r="O103" s="49">
        <f>($L103*(Table!$AC$10/Table!$AC$9)/(Table!$AC$12-Table!$AC$14))</f>
        <v>1631.2297759886339</v>
      </c>
      <c r="P103" s="49">
        <f>ROUND(($N103*(Table!$AE$10/Table!$AE$9)/(Table!$AC$12-Table!$AC$13)),2)</f>
        <v>2703.59</v>
      </c>
      <c r="Q103" s="49">
        <f>'Raw Data'!C103</f>
        <v>1.2809999999999999</v>
      </c>
      <c r="R103" s="49">
        <f>'Raw Data'!C103/'Raw Data'!I$30*100</f>
        <v>11.887939141836608</v>
      </c>
      <c r="S103" s="54">
        <f t="shared" si="7"/>
        <v>0.10316265060240816</v>
      </c>
      <c r="T103" s="54">
        <f t="shared" si="8"/>
        <v>1.8406420084959851E-4</v>
      </c>
      <c r="U103" s="91">
        <f t="shared" si="9"/>
        <v>3.5100068844204609E-3</v>
      </c>
      <c r="V103" s="91">
        <f t="shared" si="10"/>
        <v>2.8189584201727517E-2</v>
      </c>
      <c r="W103" s="91">
        <f t="shared" si="11"/>
        <v>9.4438357906677988E-6</v>
      </c>
      <c r="X103" s="145">
        <f t="shared" si="12"/>
        <v>0.21496086746907581</v>
      </c>
      <c r="Z103" s="111"/>
      <c r="AS103" s="147"/>
      <c r="AT103" s="147"/>
    </row>
    <row r="104" spans="1:46" x14ac:dyDescent="0.2">
      <c r="A104" s="49">
        <v>3707.85498046875</v>
      </c>
      <c r="B104" s="111">
        <v>0.86967620583098215</v>
      </c>
      <c r="C104" s="111">
        <f t="shared" si="1"/>
        <v>0.13032379416901785</v>
      </c>
      <c r="D104" s="15">
        <f t="shared" si="2"/>
        <v>9.1361010345291094E-3</v>
      </c>
      <c r="E104" s="5">
        <f>(2*Table!$AC$16*0.147)/A104</f>
        <v>2.4719166673993417E-2</v>
      </c>
      <c r="F104" s="5">
        <f t="shared" si="3"/>
        <v>4.9438333347986835E-2</v>
      </c>
      <c r="G104" s="49">
        <f>IF((('Raw Data'!C104)/('Raw Data'!C$135)*100)&lt;0,0,('Raw Data'!C104)/('Raw Data'!C$135)*100)</f>
        <v>86.96762058309821</v>
      </c>
      <c r="H104" s="49">
        <f t="shared" si="4"/>
        <v>0.91361010345291049</v>
      </c>
      <c r="I104" s="85">
        <f t="shared" si="5"/>
        <v>3.9324135072769106E-2</v>
      </c>
      <c r="J104" s="5">
        <f>'Raw Data'!F104/I104</f>
        <v>0.23232808598645088</v>
      </c>
      <c r="K104" s="24">
        <f t="shared" si="6"/>
        <v>6.5683717264082695</v>
      </c>
      <c r="L104" s="49">
        <f>A104*Table!$AC$9/$AC$16</f>
        <v>832.55233768263884</v>
      </c>
      <c r="M104" s="49">
        <f>A104*Table!$AD$9/$AC$16</f>
        <v>285.44651577690473</v>
      </c>
      <c r="N104" s="49">
        <f>ABS(A104*Table!$AE$9/$AC$16)</f>
        <v>360.50573720664283</v>
      </c>
      <c r="O104" s="49">
        <f>($L104*(Table!$AC$10/Table!$AC$9)/(Table!$AC$12-Table!$AC$14))</f>
        <v>1785.8265501558108</v>
      </c>
      <c r="P104" s="49">
        <f>ROUND(($N104*(Table!$AE$10/Table!$AE$9)/(Table!$AC$12-Table!$AC$13)),2)</f>
        <v>2959.82</v>
      </c>
      <c r="Q104" s="49">
        <f>'Raw Data'!C104</f>
        <v>1.2946</v>
      </c>
      <c r="R104" s="49">
        <f>'Raw Data'!C104/'Raw Data'!I$30*100</f>
        <v>12.014149893069222</v>
      </c>
      <c r="S104" s="54">
        <f t="shared" si="7"/>
        <v>0.10240963855421709</v>
      </c>
      <c r="T104" s="54">
        <f t="shared" si="8"/>
        <v>1.4768282268273758E-4</v>
      </c>
      <c r="U104" s="91">
        <f t="shared" si="9"/>
        <v>3.2401887226858003E-3</v>
      </c>
      <c r="V104" s="91">
        <f t="shared" si="10"/>
        <v>2.4623358227628414E-2</v>
      </c>
      <c r="W104" s="91">
        <f t="shared" si="11"/>
        <v>7.8220123629242158E-6</v>
      </c>
      <c r="X104" s="145">
        <f t="shared" si="12"/>
        <v>0.21496868948143874</v>
      </c>
      <c r="Z104" s="111"/>
      <c r="AS104" s="147"/>
      <c r="AT104" s="147"/>
    </row>
    <row r="105" spans="1:46" x14ac:dyDescent="0.2">
      <c r="A105" s="49">
        <v>4058.780517578125</v>
      </c>
      <c r="B105" s="111">
        <v>0.87800618030364097</v>
      </c>
      <c r="C105" s="111">
        <f t="shared" si="1"/>
        <v>0.12199381969635903</v>
      </c>
      <c r="D105" s="15">
        <f t="shared" si="2"/>
        <v>8.3299744726588187E-3</v>
      </c>
      <c r="E105" s="5">
        <f>(2*Table!$AC$16*0.147)/A105</f>
        <v>2.2581926977390303E-2</v>
      </c>
      <c r="F105" s="5">
        <f t="shared" si="3"/>
        <v>4.5163853954780606E-2</v>
      </c>
      <c r="G105" s="49">
        <f>IF((('Raw Data'!C105)/('Raw Data'!C$135)*100)&lt;0,0,('Raw Data'!C105)/('Raw Data'!C$135)*100)</f>
        <v>87.800618030364092</v>
      </c>
      <c r="H105" s="49">
        <f t="shared" si="4"/>
        <v>0.83299744726588187</v>
      </c>
      <c r="I105" s="85">
        <f t="shared" si="5"/>
        <v>3.9272827140570898E-2</v>
      </c>
      <c r="J105" s="5">
        <f>'Raw Data'!F105/I105</f>
        <v>0.21210529211057272</v>
      </c>
      <c r="K105" s="24">
        <f t="shared" si="6"/>
        <v>7.190027478363394</v>
      </c>
      <c r="L105" s="49">
        <f>A105*Table!$AC$9/$AC$16</f>
        <v>911.34826627529651</v>
      </c>
      <c r="M105" s="49">
        <f>A105*Table!$AD$9/$AC$16</f>
        <v>312.46226272295883</v>
      </c>
      <c r="N105" s="49">
        <f>ABS(A105*Table!$AE$9/$AC$16)</f>
        <v>394.62537514465595</v>
      </c>
      <c r="O105" s="49">
        <f>($L105*(Table!$AC$10/Table!$AC$9)/(Table!$AC$12-Table!$AC$14))</f>
        <v>1954.8439860044973</v>
      </c>
      <c r="P105" s="49">
        <f>ROUND(($N105*(Table!$AE$10/Table!$AE$9)/(Table!$AC$12-Table!$AC$13)),2)</f>
        <v>3239.95</v>
      </c>
      <c r="Q105" s="49">
        <f>'Raw Data'!C105</f>
        <v>1.3069999999999999</v>
      </c>
      <c r="R105" s="49">
        <f>'Raw Data'!C105/'Raw Data'!I$30*100</f>
        <v>12.129224401546015</v>
      </c>
      <c r="S105" s="54">
        <f t="shared" si="7"/>
        <v>9.3373493975902971E-2</v>
      </c>
      <c r="T105" s="54">
        <f t="shared" si="8"/>
        <v>1.1999962403608233E-4</v>
      </c>
      <c r="U105" s="91">
        <f t="shared" si="9"/>
        <v>2.9883913035000783E-3</v>
      </c>
      <c r="V105" s="91">
        <f t="shared" si="10"/>
        <v>2.1475221263218897E-2</v>
      </c>
      <c r="W105" s="91">
        <f t="shared" si="11"/>
        <v>5.9518999271000447E-6</v>
      </c>
      <c r="X105" s="145">
        <f t="shared" si="12"/>
        <v>0.21497464138136585</v>
      </c>
      <c r="Z105" s="111"/>
      <c r="AS105" s="147"/>
      <c r="AT105" s="147"/>
    </row>
    <row r="106" spans="1:46" x14ac:dyDescent="0.2">
      <c r="A106" s="49">
        <v>4432.607421875</v>
      </c>
      <c r="B106" s="111">
        <v>0.88647050920327841</v>
      </c>
      <c r="C106" s="111">
        <f t="shared" si="1"/>
        <v>0.11352949079672159</v>
      </c>
      <c r="D106" s="15">
        <f t="shared" si="2"/>
        <v>8.4643288996374411E-3</v>
      </c>
      <c r="E106" s="5">
        <f>(2*Table!$AC$16*0.147)/A106</f>
        <v>2.0677465099409455E-2</v>
      </c>
      <c r="F106" s="5">
        <f t="shared" si="3"/>
        <v>4.1354930198818911E-2</v>
      </c>
      <c r="G106" s="49">
        <f>IF((('Raw Data'!C106)/('Raw Data'!C$135)*100)&lt;0,0,('Raw Data'!C106)/('Raw Data'!C$135)*100)</f>
        <v>88.647050920327843</v>
      </c>
      <c r="H106" s="49">
        <f t="shared" si="4"/>
        <v>0.84643288996375077</v>
      </c>
      <c r="I106" s="85">
        <f t="shared" si="5"/>
        <v>3.826370223092157E-2</v>
      </c>
      <c r="J106" s="5">
        <f>'Raw Data'!F106/I106</f>
        <v>0.22121040061819391</v>
      </c>
      <c r="K106" s="24">
        <f t="shared" si="6"/>
        <v>7.8522524255871673</v>
      </c>
      <c r="L106" s="49">
        <f>A106*Table!$AC$9/$AC$16</f>
        <v>995.28640967638535</v>
      </c>
      <c r="M106" s="49">
        <f>A106*Table!$AD$9/$AC$16</f>
        <v>341.24105474618926</v>
      </c>
      <c r="N106" s="49">
        <f>ABS(A106*Table!$AE$9/$AC$16)</f>
        <v>430.9716574105779</v>
      </c>
      <c r="O106" s="49">
        <f>($L106*(Table!$AC$10/Table!$AC$9)/(Table!$AC$12-Table!$AC$14))</f>
        <v>2134.8914836473305</v>
      </c>
      <c r="P106" s="49">
        <f>ROUND(($N106*(Table!$AE$10/Table!$AE$9)/(Table!$AC$12-Table!$AC$13)),2)</f>
        <v>3538.36</v>
      </c>
      <c r="Q106" s="49">
        <f>'Raw Data'!C106</f>
        <v>1.3196000000000001</v>
      </c>
      <c r="R106" s="49">
        <f>'Raw Data'!C106/'Raw Data'!I$30*100</f>
        <v>12.246154950482115</v>
      </c>
      <c r="S106" s="54">
        <f t="shared" si="7"/>
        <v>9.4879518072291349E-2</v>
      </c>
      <c r="T106" s="54">
        <f t="shared" si="8"/>
        <v>9.6414523893750825E-5</v>
      </c>
      <c r="U106" s="91">
        <f t="shared" si="9"/>
        <v>2.7627429602827248E-3</v>
      </c>
      <c r="V106" s="91">
        <f t="shared" si="10"/>
        <v>1.8805273279246443E-2</v>
      </c>
      <c r="W106" s="91">
        <f t="shared" si="11"/>
        <v>5.0708069399567539E-6</v>
      </c>
      <c r="X106" s="145">
        <f t="shared" si="12"/>
        <v>0.2149797121883058</v>
      </c>
      <c r="Z106" s="111"/>
      <c r="AS106" s="147"/>
      <c r="AT106" s="147"/>
    </row>
    <row r="107" spans="1:46" x14ac:dyDescent="0.2">
      <c r="A107" s="49">
        <v>4844.89794921875</v>
      </c>
      <c r="B107" s="111">
        <v>0.89493483810291552</v>
      </c>
      <c r="C107" s="111">
        <f t="shared" si="1"/>
        <v>0.10506516189708448</v>
      </c>
      <c r="D107" s="15">
        <f t="shared" si="2"/>
        <v>8.464328899637108E-3</v>
      </c>
      <c r="E107" s="5">
        <f>(2*Table!$AC$16*0.147)/A107</f>
        <v>1.8917856728021116E-2</v>
      </c>
      <c r="F107" s="5">
        <f t="shared" si="3"/>
        <v>3.7835713456042232E-2</v>
      </c>
      <c r="G107" s="49">
        <f>IF((('Raw Data'!C107)/('Raw Data'!C$135)*100)&lt;0,0,('Raw Data'!C107)/('Raw Data'!C$135)*100)</f>
        <v>89.493483810291551</v>
      </c>
      <c r="H107" s="49">
        <f t="shared" si="4"/>
        <v>0.84643288996370813</v>
      </c>
      <c r="I107" s="85">
        <f t="shared" si="5"/>
        <v>3.8625364401349671E-2</v>
      </c>
      <c r="J107" s="5">
        <f>'Raw Data'!F107/I107</f>
        <v>0.2191391338521933</v>
      </c>
      <c r="K107" s="24">
        <f t="shared" si="6"/>
        <v>8.5826147124445384</v>
      </c>
      <c r="L107" s="49">
        <f>A107*Table!$AC$9/$AC$16</f>
        <v>1087.8610772813877</v>
      </c>
      <c r="M107" s="49">
        <f>A107*Table!$AD$9/$AC$16</f>
        <v>372.98094078219009</v>
      </c>
      <c r="N107" s="49">
        <f>ABS(A107*Table!$AE$9/$AC$16)</f>
        <v>471.05766435699417</v>
      </c>
      <c r="O107" s="49">
        <f>($L107*(Table!$AC$10/Table!$AC$9)/(Table!$AC$12-Table!$AC$14))</f>
        <v>2333.4643442329211</v>
      </c>
      <c r="P107" s="49">
        <f>ROUND(($N107*(Table!$AE$10/Table!$AE$9)/(Table!$AC$12-Table!$AC$13)),2)</f>
        <v>3867.47</v>
      </c>
      <c r="Q107" s="49">
        <f>'Raw Data'!C107</f>
        <v>1.3322000000000001</v>
      </c>
      <c r="R107" s="49">
        <f>'Raw Data'!C107/'Raw Data'!I$30*100</f>
        <v>12.363085499418212</v>
      </c>
      <c r="S107" s="54">
        <f t="shared" si="7"/>
        <v>9.4879518072287616E-2</v>
      </c>
      <c r="T107" s="54">
        <f t="shared" si="8"/>
        <v>7.6672712622793959E-5</v>
      </c>
      <c r="U107" s="91">
        <f t="shared" si="9"/>
        <v>2.5517741816237401E-3</v>
      </c>
      <c r="V107" s="91">
        <f t="shared" si="10"/>
        <v>1.6441563792511275E-2</v>
      </c>
      <c r="W107" s="91">
        <f t="shared" si="11"/>
        <v>4.2444981363820523E-6</v>
      </c>
      <c r="X107" s="145">
        <f t="shared" si="12"/>
        <v>0.21498395668644218</v>
      </c>
      <c r="Z107" s="111"/>
      <c r="AS107" s="147"/>
      <c r="AT107" s="147"/>
    </row>
    <row r="108" spans="1:46" x14ac:dyDescent="0.2">
      <c r="A108" s="49">
        <v>5304.9794921875</v>
      </c>
      <c r="B108" s="111">
        <v>0.90279457208115022</v>
      </c>
      <c r="C108" s="111">
        <f t="shared" si="1"/>
        <v>9.7205427918849785E-2</v>
      </c>
      <c r="D108" s="15">
        <f t="shared" si="2"/>
        <v>7.8597339782346953E-3</v>
      </c>
      <c r="E108" s="5">
        <f>(2*Table!$AC$16*0.147)/A108</f>
        <v>1.7277179940126366E-2</v>
      </c>
      <c r="F108" s="5">
        <f t="shared" si="3"/>
        <v>3.4554359880252732E-2</v>
      </c>
      <c r="G108" s="49">
        <f>IF((('Raw Data'!C108)/('Raw Data'!C$135)*100)&lt;0,0,('Raw Data'!C108)/('Raw Data'!C$135)*100)</f>
        <v>90.279457208115019</v>
      </c>
      <c r="H108" s="49">
        <f t="shared" si="4"/>
        <v>0.78597339782346864</v>
      </c>
      <c r="I108" s="85">
        <f t="shared" si="5"/>
        <v>3.9399075662697181E-2</v>
      </c>
      <c r="J108" s="5">
        <f>'Raw Data'!F108/I108</f>
        <v>0.19949031407547071</v>
      </c>
      <c r="K108" s="24">
        <f t="shared" si="6"/>
        <v>9.3976375800045275</v>
      </c>
      <c r="L108" s="49">
        <f>A108*Table!$AC$9/$AC$16</f>
        <v>1191.1666181239921</v>
      </c>
      <c r="M108" s="49">
        <f>A108*Table!$AD$9/$AC$16</f>
        <v>408.39998335679724</v>
      </c>
      <c r="N108" s="49">
        <f>ABS(A108*Table!$AE$9/$AC$16)</f>
        <v>515.79027571768722</v>
      </c>
      <c r="O108" s="49">
        <f>($L108*(Table!$AC$10/Table!$AC$9)/(Table!$AC$12-Table!$AC$14))</f>
        <v>2555.0549509309144</v>
      </c>
      <c r="P108" s="49">
        <f>ROUND(($N108*(Table!$AE$10/Table!$AE$9)/(Table!$AC$12-Table!$AC$13)),2)</f>
        <v>4234.7299999999996</v>
      </c>
      <c r="Q108" s="49">
        <f>'Raw Data'!C108</f>
        <v>1.3439000000000001</v>
      </c>
      <c r="R108" s="49">
        <f>'Raw Data'!C108/'Raw Data'!I$30*100</f>
        <v>12.471663866287447</v>
      </c>
      <c r="S108" s="54">
        <f t="shared" si="7"/>
        <v>8.8102409638555451E-2</v>
      </c>
      <c r="T108" s="54">
        <f t="shared" si="8"/>
        <v>6.1382829659839544E-5</v>
      </c>
      <c r="U108" s="91">
        <f t="shared" si="9"/>
        <v>2.3509353588744555E-3</v>
      </c>
      <c r="V108" s="91">
        <f t="shared" si="10"/>
        <v>1.431333707906496E-2</v>
      </c>
      <c r="W108" s="91">
        <f t="shared" si="11"/>
        <v>3.2873315852758439E-6</v>
      </c>
      <c r="X108" s="145">
        <f t="shared" si="12"/>
        <v>0.21498724401802746</v>
      </c>
      <c r="Z108" s="111"/>
      <c r="AS108" s="147"/>
      <c r="AT108" s="147"/>
    </row>
    <row r="109" spans="1:46" x14ac:dyDescent="0.2">
      <c r="A109" s="49">
        <v>5803.25048828125</v>
      </c>
      <c r="B109" s="111">
        <v>0.91085583769985234</v>
      </c>
      <c r="C109" s="111">
        <f t="shared" si="1"/>
        <v>8.9144162300147656E-2</v>
      </c>
      <c r="D109" s="15">
        <f t="shared" si="2"/>
        <v>8.0612656187021292E-3</v>
      </c>
      <c r="E109" s="5">
        <f>(2*Table!$AC$16*0.147)/A109</f>
        <v>1.5793749632259824E-2</v>
      </c>
      <c r="F109" s="5">
        <f t="shared" si="3"/>
        <v>3.1587499264519647E-2</v>
      </c>
      <c r="G109" s="49">
        <f>IF((('Raw Data'!C109)/('Raw Data'!C$135)*100)&lt;0,0,('Raw Data'!C109)/('Raw Data'!C$135)*100)</f>
        <v>91.085583769985234</v>
      </c>
      <c r="H109" s="49">
        <f t="shared" si="4"/>
        <v>0.80612656187021514</v>
      </c>
      <c r="I109" s="85">
        <f t="shared" si="5"/>
        <v>3.898760725543271E-2</v>
      </c>
      <c r="J109" s="5">
        <f>'Raw Data'!F109/I109</f>
        <v>0.20676482057202511</v>
      </c>
      <c r="K109" s="24">
        <f t="shared" si="6"/>
        <v>10.280312102085677</v>
      </c>
      <c r="L109" s="49">
        <f>A109*Table!$AC$9/$AC$16</f>
        <v>1303.0471217527679</v>
      </c>
      <c r="M109" s="49">
        <f>A109*Table!$AD$9/$AC$16</f>
        <v>446.75901317237754</v>
      </c>
      <c r="N109" s="49">
        <f>ABS(A109*Table!$AE$9/$AC$16)</f>
        <v>564.23595488304568</v>
      </c>
      <c r="O109" s="49">
        <f>($L109*(Table!$AC$10/Table!$AC$9)/(Table!$AC$12-Table!$AC$14))</f>
        <v>2795.0388711985588</v>
      </c>
      <c r="P109" s="49">
        <f>ROUND(($N109*(Table!$AE$10/Table!$AE$9)/(Table!$AC$12-Table!$AC$13)),2)</f>
        <v>4632.4799999999996</v>
      </c>
      <c r="Q109" s="49">
        <f>'Raw Data'!C109</f>
        <v>1.3559000000000001</v>
      </c>
      <c r="R109" s="49">
        <f>'Raw Data'!C109/'Raw Data'!I$30*100</f>
        <v>12.583026293845634</v>
      </c>
      <c r="S109" s="54">
        <f t="shared" si="7"/>
        <v>9.0361445783132432E-2</v>
      </c>
      <c r="T109" s="54">
        <f t="shared" si="8"/>
        <v>4.8278212712360435E-5</v>
      </c>
      <c r="U109" s="91">
        <f t="shared" si="9"/>
        <v>2.1682721294307514E-3</v>
      </c>
      <c r="V109" s="91">
        <f t="shared" si="10"/>
        <v>1.2483642134403927E-2</v>
      </c>
      <c r="W109" s="91">
        <f t="shared" si="11"/>
        <v>2.8174984274831366E-6</v>
      </c>
      <c r="X109" s="145">
        <f t="shared" si="12"/>
        <v>0.21499006151645494</v>
      </c>
      <c r="Z109" s="111"/>
      <c r="AS109" s="147"/>
      <c r="AT109" s="147"/>
    </row>
    <row r="110" spans="1:46" x14ac:dyDescent="0.2">
      <c r="A110" s="49">
        <v>6353.1337890625</v>
      </c>
      <c r="B110" s="111">
        <v>0.91844686282413013</v>
      </c>
      <c r="C110" s="111">
        <f t="shared" si="1"/>
        <v>8.1553137175869872E-2</v>
      </c>
      <c r="D110" s="15">
        <f t="shared" si="2"/>
        <v>7.5910251242777838E-3</v>
      </c>
      <c r="E110" s="5">
        <f>(2*Table!$AC$16*0.147)/A110</f>
        <v>1.4426751947676002E-2</v>
      </c>
      <c r="F110" s="5">
        <f t="shared" si="3"/>
        <v>2.8853503895352003E-2</v>
      </c>
      <c r="G110" s="49">
        <f>IF((('Raw Data'!C110)/('Raw Data'!C$135)*100)&lt;0,0,('Raw Data'!C110)/('Raw Data'!C$135)*100)</f>
        <v>91.844686282413008</v>
      </c>
      <c r="H110" s="49">
        <f t="shared" si="4"/>
        <v>0.75910251242777349</v>
      </c>
      <c r="I110" s="85">
        <f t="shared" si="5"/>
        <v>3.9316684515977141E-2</v>
      </c>
      <c r="J110" s="5">
        <f>'Raw Data'!F110/I110</f>
        <v>0.1930738875296826</v>
      </c>
      <c r="K110" s="24">
        <f t="shared" si="6"/>
        <v>11.254416522215671</v>
      </c>
      <c r="L110" s="49">
        <f>A110*Table!$AC$9/$AC$16</f>
        <v>1426.5165211574335</v>
      </c>
      <c r="M110" s="49">
        <f>A110*Table!$AD$9/$AC$16</f>
        <v>489.09137868254868</v>
      </c>
      <c r="N110" s="49">
        <f>ABS(A110*Table!$AE$9/$AC$16)</f>
        <v>617.6997731202697</v>
      </c>
      <c r="O110" s="49">
        <f>($L110*(Table!$AC$10/Table!$AC$9)/(Table!$AC$12-Table!$AC$14))</f>
        <v>3059.8809977636934</v>
      </c>
      <c r="P110" s="49">
        <f>ROUND(($N110*(Table!$AE$10/Table!$AE$9)/(Table!$AC$12-Table!$AC$13)),2)</f>
        <v>5071.43</v>
      </c>
      <c r="Q110" s="49">
        <f>'Raw Data'!C110</f>
        <v>1.3672</v>
      </c>
      <c r="R110" s="49">
        <f>'Raw Data'!C110/'Raw Data'!I$30*100</f>
        <v>12.687892579796262</v>
      </c>
      <c r="S110" s="54">
        <f t="shared" si="7"/>
        <v>8.5090361445782428E-2</v>
      </c>
      <c r="T110" s="54">
        <f t="shared" si="8"/>
        <v>3.7981747434412405E-5</v>
      </c>
      <c r="U110" s="91">
        <f t="shared" si="9"/>
        <v>1.9971077268417718E-3</v>
      </c>
      <c r="V110" s="91">
        <f t="shared" si="10"/>
        <v>1.0863051003242655E-2</v>
      </c>
      <c r="W110" s="91">
        <f t="shared" si="11"/>
        <v>2.2137445791466668E-6</v>
      </c>
      <c r="X110" s="145">
        <f t="shared" si="12"/>
        <v>0.21499227526103409</v>
      </c>
      <c r="Z110" s="111"/>
      <c r="AS110" s="147"/>
      <c r="AT110" s="147"/>
    </row>
    <row r="111" spans="1:46" x14ac:dyDescent="0.2">
      <c r="A111" s="49">
        <v>6942.1123046875</v>
      </c>
      <c r="B111" s="111">
        <v>0.92556764745398357</v>
      </c>
      <c r="C111" s="111">
        <f t="shared" si="1"/>
        <v>7.4432352546016434E-2</v>
      </c>
      <c r="D111" s="15">
        <f t="shared" si="2"/>
        <v>7.1207846298534383E-3</v>
      </c>
      <c r="E111" s="5">
        <f>(2*Table!$AC$16*0.147)/A111</f>
        <v>1.3202766138386392E-2</v>
      </c>
      <c r="F111" s="5">
        <f t="shared" si="3"/>
        <v>2.6405532276772784E-2</v>
      </c>
      <c r="G111" s="49">
        <f>IF((('Raw Data'!C111)/('Raw Data'!C$135)*100)&lt;0,0,('Raw Data'!C111)/('Raw Data'!C$135)*100)</f>
        <v>92.556764745398354</v>
      </c>
      <c r="H111" s="49">
        <f t="shared" si="4"/>
        <v>0.71207846298534605</v>
      </c>
      <c r="I111" s="85">
        <f t="shared" si="5"/>
        <v>3.8503633976815221E-2</v>
      </c>
      <c r="J111" s="5">
        <f>'Raw Data'!F111/I111</f>
        <v>0.1849379888179174</v>
      </c>
      <c r="K111" s="24">
        <f t="shared" si="6"/>
        <v>12.297777130942629</v>
      </c>
      <c r="L111" s="49">
        <f>A111*Table!$AC$9/$AC$16</f>
        <v>1558.7642607835539</v>
      </c>
      <c r="M111" s="49">
        <f>A111*Table!$AD$9/$AC$16</f>
        <v>534.43346084007555</v>
      </c>
      <c r="N111" s="49">
        <f>ABS(A111*Table!$AE$9/$AC$16)</f>
        <v>674.96472417491475</v>
      </c>
      <c r="O111" s="49">
        <f>($L111*(Table!$AC$10/Table!$AC$9)/(Table!$AC$12-Table!$AC$14))</f>
        <v>3343.5526829334062</v>
      </c>
      <c r="P111" s="49">
        <f>ROUND(($N111*(Table!$AE$10/Table!$AE$9)/(Table!$AC$12-Table!$AC$13)),2)</f>
        <v>5541.58</v>
      </c>
      <c r="Q111" s="49">
        <f>'Raw Data'!C111</f>
        <v>1.3777999999999999</v>
      </c>
      <c r="R111" s="49">
        <f>'Raw Data'!C111/'Raw Data'!I$30*100</f>
        <v>12.786262724139327</v>
      </c>
      <c r="S111" s="54">
        <f t="shared" si="7"/>
        <v>7.9819277108432424E-2</v>
      </c>
      <c r="T111" s="54">
        <f t="shared" si="8"/>
        <v>2.9892496399952506E-5</v>
      </c>
      <c r="U111" s="91">
        <f t="shared" si="9"/>
        <v>1.8418403740754381E-3</v>
      </c>
      <c r="V111" s="91">
        <f t="shared" si="10"/>
        <v>9.4735774190570447E-3</v>
      </c>
      <c r="W111" s="91">
        <f t="shared" si="11"/>
        <v>1.7391925426130893E-6</v>
      </c>
      <c r="X111" s="145">
        <f t="shared" si="12"/>
        <v>0.21499401445357672</v>
      </c>
      <c r="Z111" s="111"/>
      <c r="AS111" s="147"/>
      <c r="AT111" s="147"/>
    </row>
    <row r="112" spans="1:46" x14ac:dyDescent="0.2">
      <c r="A112" s="49">
        <v>7603.11865234375</v>
      </c>
      <c r="B112" s="111">
        <v>0.93255407765685894</v>
      </c>
      <c r="C112" s="111">
        <f t="shared" si="1"/>
        <v>6.7445922343141063E-2</v>
      </c>
      <c r="D112" s="15">
        <f t="shared" si="2"/>
        <v>6.9864302028753711E-3</v>
      </c>
      <c r="E112" s="5">
        <f>(2*Table!$AC$16*0.147)/A112</f>
        <v>1.2054932910582671E-2</v>
      </c>
      <c r="F112" s="5">
        <f t="shared" si="3"/>
        <v>2.4109865821165342E-2</v>
      </c>
      <c r="G112" s="49">
        <f>IF((('Raw Data'!C112)/('Raw Data'!C$135)*100)&lt;0,0,('Raw Data'!C112)/('Raw Data'!C$135)*100)</f>
        <v>93.255407765685888</v>
      </c>
      <c r="H112" s="49">
        <f t="shared" si="4"/>
        <v>0.698643020287534</v>
      </c>
      <c r="I112" s="85">
        <f t="shared" si="5"/>
        <v>3.9500132921582054E-2</v>
      </c>
      <c r="J112" s="5">
        <f>'Raw Data'!F112/I112</f>
        <v>0.17687105551632537</v>
      </c>
      <c r="K112" s="24">
        <f t="shared" si="6"/>
        <v>13.468733230302488</v>
      </c>
      <c r="L112" s="49">
        <f>A112*Table!$AC$9/$AC$16</f>
        <v>1707.1849468306391</v>
      </c>
      <c r="M112" s="49">
        <f>A112*Table!$AD$9/$AC$16</f>
        <v>585.32055319907624</v>
      </c>
      <c r="N112" s="49">
        <f>ABS(A112*Table!$AE$9/$AC$16)</f>
        <v>739.23276645685985</v>
      </c>
      <c r="O112" s="49">
        <f>($L112*(Table!$AC$10/Table!$AC$9)/(Table!$AC$12-Table!$AC$14))</f>
        <v>3661.9153728670944</v>
      </c>
      <c r="P112" s="49">
        <f>ROUND(($N112*(Table!$AE$10/Table!$AE$9)/(Table!$AC$12-Table!$AC$13)),2)</f>
        <v>6069.23</v>
      </c>
      <c r="Q112" s="49">
        <f>'Raw Data'!C112</f>
        <v>1.3882000000000001</v>
      </c>
      <c r="R112" s="49">
        <f>'Raw Data'!C112/'Raw Data'!I$30*100</f>
        <v>12.88277682802309</v>
      </c>
      <c r="S112" s="54">
        <f t="shared" si="7"/>
        <v>7.8313253012050263E-2</v>
      </c>
      <c r="T112" s="54">
        <f t="shared" si="8"/>
        <v>2.3275886638418619E-5</v>
      </c>
      <c r="U112" s="91">
        <f t="shared" si="9"/>
        <v>1.6944069160425143E-3</v>
      </c>
      <c r="V112" s="91">
        <f t="shared" si="10"/>
        <v>8.2270067279180126E-3</v>
      </c>
      <c r="W112" s="91">
        <f t="shared" si="11"/>
        <v>1.4225740189928386E-6</v>
      </c>
      <c r="X112" s="145">
        <f t="shared" si="12"/>
        <v>0.21499543702759571</v>
      </c>
      <c r="Z112" s="111"/>
      <c r="AS112" s="147"/>
      <c r="AT112" s="147"/>
    </row>
    <row r="113" spans="1:46" x14ac:dyDescent="0.2">
      <c r="A113" s="49">
        <v>8314.5078125</v>
      </c>
      <c r="B113" s="111">
        <v>0.93900309015182049</v>
      </c>
      <c r="C113" s="111">
        <f t="shared" si="1"/>
        <v>6.0996909848179515E-2</v>
      </c>
      <c r="D113" s="15">
        <f t="shared" si="2"/>
        <v>6.4490124949615479E-3</v>
      </c>
      <c r="E113" s="5">
        <f>(2*Table!$AC$16*0.147)/A113</f>
        <v>1.1023513036744006E-2</v>
      </c>
      <c r="F113" s="5">
        <f t="shared" si="3"/>
        <v>2.2047026073488012E-2</v>
      </c>
      <c r="G113" s="49">
        <f>IF((('Raw Data'!C113)/('Raw Data'!C$135)*100)&lt;0,0,('Raw Data'!C113)/('Raw Data'!C$135)*100)</f>
        <v>93.900309015182046</v>
      </c>
      <c r="H113" s="49">
        <f t="shared" si="4"/>
        <v>0.6449012494961579</v>
      </c>
      <c r="I113" s="85">
        <f t="shared" si="5"/>
        <v>3.8844777691961596E-2</v>
      </c>
      <c r="J113" s="5">
        <f>'Raw Data'!F113/I113</f>
        <v>0.1660200644241577</v>
      </c>
      <c r="K113" s="24">
        <f t="shared" si="6"/>
        <v>14.728941213262198</v>
      </c>
      <c r="L113" s="49">
        <f>A113*Table!$AC$9/$AC$16</f>
        <v>1866.9184616013004</v>
      </c>
      <c r="M113" s="49">
        <f>A113*Table!$AD$9/$AC$16</f>
        <v>640.08632969187443</v>
      </c>
      <c r="N113" s="49">
        <f>ABS(A113*Table!$AE$9/$AC$16)</f>
        <v>808.39940727044461</v>
      </c>
      <c r="O113" s="49">
        <f>($L113*(Table!$AC$10/Table!$AC$9)/(Table!$AC$12-Table!$AC$14))</f>
        <v>4004.5441046788947</v>
      </c>
      <c r="P113" s="49">
        <f>ROUND(($N113*(Table!$AE$10/Table!$AE$9)/(Table!$AC$12-Table!$AC$13)),2)</f>
        <v>6637.11</v>
      </c>
      <c r="Q113" s="49">
        <f>'Raw Data'!C113</f>
        <v>1.3977999999999999</v>
      </c>
      <c r="R113" s="49">
        <f>'Raw Data'!C113/'Raw Data'!I$30*100</f>
        <v>12.97186677006964</v>
      </c>
      <c r="S113" s="54">
        <f t="shared" si="7"/>
        <v>7.2289156626504203E-2</v>
      </c>
      <c r="T113" s="54">
        <f t="shared" si="8"/>
        <v>1.816867494530694E-5</v>
      </c>
      <c r="U113" s="91">
        <f t="shared" si="9"/>
        <v>1.5601484853460339E-3</v>
      </c>
      <c r="V113" s="91">
        <f t="shared" si="10"/>
        <v>7.155112881791716E-3</v>
      </c>
      <c r="W113" s="91">
        <f t="shared" si="11"/>
        <v>1.0980527681138132E-6</v>
      </c>
      <c r="X113" s="145">
        <f t="shared" si="12"/>
        <v>0.21499653508036382</v>
      </c>
      <c r="Z113" s="111"/>
      <c r="AS113" s="147"/>
      <c r="AT113" s="147"/>
    </row>
    <row r="114" spans="1:46" x14ac:dyDescent="0.2">
      <c r="A114" s="49">
        <v>9090.8046875</v>
      </c>
      <c r="B114" s="111">
        <v>0.94531774821980386</v>
      </c>
      <c r="C114" s="111">
        <f t="shared" si="1"/>
        <v>5.4682251780196145E-2</v>
      </c>
      <c r="D114" s="15">
        <f t="shared" si="2"/>
        <v>6.3146580679833697E-3</v>
      </c>
      <c r="E114" s="5">
        <f>(2*Table!$AC$16*0.147)/A114</f>
        <v>1.0082175166652829E-2</v>
      </c>
      <c r="F114" s="5">
        <f t="shared" si="3"/>
        <v>2.0164350333305658E-2</v>
      </c>
      <c r="G114" s="49">
        <f>IF((('Raw Data'!C114)/('Raw Data'!C$135)*100)&lt;0,0,('Raw Data'!C114)/('Raw Data'!C$135)*100)</f>
        <v>94.531774821980392</v>
      </c>
      <c r="H114" s="49">
        <f t="shared" si="4"/>
        <v>0.63146580679834585</v>
      </c>
      <c r="I114" s="85">
        <f t="shared" si="5"/>
        <v>3.8765781491171047E-2</v>
      </c>
      <c r="J114" s="5">
        <f>'Raw Data'!F114/I114</f>
        <v>0.16289257755377742</v>
      </c>
      <c r="K114" s="24">
        <f t="shared" si="6"/>
        <v>16.104131578556494</v>
      </c>
      <c r="L114" s="49">
        <f>A114*Table!$AC$9/$AC$16</f>
        <v>2041.2261897679696</v>
      </c>
      <c r="M114" s="49">
        <f>A114*Table!$AD$9/$AC$16</f>
        <v>699.84897934901812</v>
      </c>
      <c r="N114" s="49">
        <f>ABS(A114*Table!$AE$9/$AC$16)</f>
        <v>883.8768676045886</v>
      </c>
      <c r="O114" s="49">
        <f>($L114*(Table!$AC$10/Table!$AC$9)/(Table!$AC$12-Table!$AC$14))</f>
        <v>4378.4345554868505</v>
      </c>
      <c r="P114" s="49">
        <f>ROUND(($N114*(Table!$AE$10/Table!$AE$9)/(Table!$AC$12-Table!$AC$13)),2)</f>
        <v>7256.79</v>
      </c>
      <c r="Q114" s="49">
        <f>'Raw Data'!C114</f>
        <v>1.4072</v>
      </c>
      <c r="R114" s="49">
        <f>'Raw Data'!C114/'Raw Data'!I$30*100</f>
        <v>13.059100671656889</v>
      </c>
      <c r="S114" s="54">
        <f t="shared" si="7"/>
        <v>7.0783132530120793E-2</v>
      </c>
      <c r="T114" s="54">
        <f t="shared" si="8"/>
        <v>1.3985472167132862E-5</v>
      </c>
      <c r="U114" s="91">
        <f t="shared" si="9"/>
        <v>1.4365175713887417E-3</v>
      </c>
      <c r="V114" s="91">
        <f t="shared" si="10"/>
        <v>6.2227979455947019E-3</v>
      </c>
      <c r="W114" s="91">
        <f t="shared" si="11"/>
        <v>8.9939044357687462E-7</v>
      </c>
      <c r="X114" s="145">
        <f t="shared" si="12"/>
        <v>0.21499743447080738</v>
      </c>
      <c r="Z114" s="111"/>
      <c r="AS114" s="147"/>
      <c r="AT114" s="147"/>
    </row>
    <row r="115" spans="1:46" x14ac:dyDescent="0.2">
      <c r="A115" s="49">
        <v>9952.6162109375</v>
      </c>
      <c r="B115" s="111">
        <v>0.95122934300685202</v>
      </c>
      <c r="C115" s="111">
        <f t="shared" si="1"/>
        <v>4.8770656993147976E-2</v>
      </c>
      <c r="D115" s="15">
        <f t="shared" si="2"/>
        <v>5.9115947870481689E-3</v>
      </c>
      <c r="E115" s="5">
        <f>(2*Table!$AC$16*0.147)/A115</f>
        <v>9.2091449446707902E-3</v>
      </c>
      <c r="F115" s="5">
        <f t="shared" si="3"/>
        <v>1.841828988934158E-2</v>
      </c>
      <c r="G115" s="49">
        <f>IF((('Raw Data'!C115)/('Raw Data'!C$135)*100)&lt;0,0,('Raw Data'!C115)/('Raw Data'!C$135)*100)</f>
        <v>95.122934300685202</v>
      </c>
      <c r="H115" s="49">
        <f t="shared" si="4"/>
        <v>0.59115947870481023</v>
      </c>
      <c r="I115" s="85">
        <f t="shared" si="5"/>
        <v>3.9334930078530617E-2</v>
      </c>
      <c r="J115" s="5">
        <f>'Raw Data'!F115/I115</f>
        <v>0.15028868171993456</v>
      </c>
      <c r="K115" s="24">
        <f t="shared" si="6"/>
        <v>17.630808990121302</v>
      </c>
      <c r="L115" s="49">
        <f>A115*Table!$AC$9/$AC$16</f>
        <v>2234.7351598488381</v>
      </c>
      <c r="M115" s="49">
        <f>A115*Table!$AD$9/$AC$16</f>
        <v>766.19491194817306</v>
      </c>
      <c r="N115" s="49">
        <f>ABS(A115*Table!$AE$9/$AC$16)</f>
        <v>967.66870957968615</v>
      </c>
      <c r="O115" s="49">
        <f>($L115*(Table!$AC$10/Table!$AC$9)/(Table!$AC$12-Table!$AC$14))</f>
        <v>4793.5117113874694</v>
      </c>
      <c r="P115" s="49">
        <f>ROUND(($N115*(Table!$AE$10/Table!$AE$9)/(Table!$AC$12-Table!$AC$13)),2)</f>
        <v>7944.73</v>
      </c>
      <c r="Q115" s="49">
        <f>'Raw Data'!C115</f>
        <v>1.4159999999999999</v>
      </c>
      <c r="R115" s="49">
        <f>'Raw Data'!C115/'Raw Data'!I$30*100</f>
        <v>13.140766451866225</v>
      </c>
      <c r="S115" s="54">
        <f t="shared" si="7"/>
        <v>6.6265060240963125E-2</v>
      </c>
      <c r="T115" s="54">
        <f t="shared" si="8"/>
        <v>1.0718135582288291E-5</v>
      </c>
      <c r="U115" s="91">
        <f t="shared" si="9"/>
        <v>1.3203328826670805E-3</v>
      </c>
      <c r="V115" s="91">
        <f t="shared" si="10"/>
        <v>5.3957098997617975E-3</v>
      </c>
      <c r="W115" s="91">
        <f t="shared" si="11"/>
        <v>7.0247880777974469E-7</v>
      </c>
      <c r="X115" s="145">
        <f t="shared" si="12"/>
        <v>0.21499813694961517</v>
      </c>
      <c r="Z115" s="111"/>
      <c r="AS115" s="147"/>
      <c r="AT115" s="147"/>
    </row>
    <row r="116" spans="1:46" x14ac:dyDescent="0.2">
      <c r="A116" s="49">
        <v>10884.8642578125</v>
      </c>
      <c r="B116" s="111">
        <v>0.95633481123203012</v>
      </c>
      <c r="C116" s="111">
        <f t="shared" si="1"/>
        <v>4.3665188767969876E-2</v>
      </c>
      <c r="D116" s="15">
        <f t="shared" si="2"/>
        <v>5.1054682251781003E-3</v>
      </c>
      <c r="E116" s="5">
        <f>(2*Table!$AC$16*0.147)/A116</f>
        <v>8.4204160101876459E-3</v>
      </c>
      <c r="F116" s="5">
        <f t="shared" si="3"/>
        <v>1.6840832020375292E-2</v>
      </c>
      <c r="G116" s="49">
        <f>IF((('Raw Data'!C116)/('Raw Data'!C$135)*100)&lt;0,0,('Raw Data'!C116)/('Raw Data'!C$135)*100)</f>
        <v>95.633481123203012</v>
      </c>
      <c r="H116" s="49">
        <f t="shared" si="4"/>
        <v>0.51054682251781003</v>
      </c>
      <c r="I116" s="85">
        <f t="shared" si="5"/>
        <v>3.8885760151312176E-2</v>
      </c>
      <c r="J116" s="5">
        <f>'Raw Data'!F116/I116</f>
        <v>0.13129403167925005</v>
      </c>
      <c r="K116" s="24">
        <f t="shared" si="6"/>
        <v>19.282262929217634</v>
      </c>
      <c r="L116" s="49">
        <f>A116*Table!$AC$9/$AC$16</f>
        <v>2444.0597679616762</v>
      </c>
      <c r="M116" s="49">
        <f>A116*Table!$AD$9/$AC$16</f>
        <v>837.96334901543185</v>
      </c>
      <c r="N116" s="49">
        <f>ABS(A116*Table!$AE$9/$AC$16)</f>
        <v>1058.308923711156</v>
      </c>
      <c r="O116" s="49">
        <f>($L116*(Table!$AC$10/Table!$AC$9)/(Table!$AC$12-Table!$AC$14))</f>
        <v>5242.5134447912415</v>
      </c>
      <c r="P116" s="49">
        <f>ROUND(($N116*(Table!$AE$10/Table!$AE$9)/(Table!$AC$12-Table!$AC$13)),2)</f>
        <v>8688.91</v>
      </c>
      <c r="Q116" s="49">
        <f>'Raw Data'!C116</f>
        <v>1.4236</v>
      </c>
      <c r="R116" s="49">
        <f>'Raw Data'!C116/'Raw Data'!I$30*100</f>
        <v>13.211295989319746</v>
      </c>
      <c r="S116" s="54">
        <f t="shared" si="7"/>
        <v>5.7228915662651494E-2</v>
      </c>
      <c r="T116" s="54">
        <f t="shared" si="8"/>
        <v>8.3589979660292357E-6</v>
      </c>
      <c r="U116" s="91">
        <f t="shared" si="9"/>
        <v>1.2137308905655368E-3</v>
      </c>
      <c r="V116" s="91">
        <f t="shared" si="10"/>
        <v>4.6797632543777714E-3</v>
      </c>
      <c r="W116" s="91">
        <f t="shared" si="11"/>
        <v>5.0721562873037844E-7</v>
      </c>
      <c r="X116" s="145">
        <f t="shared" si="12"/>
        <v>0.21499864416524389</v>
      </c>
      <c r="Z116" s="111"/>
      <c r="AS116" s="147"/>
      <c r="AT116" s="147"/>
    </row>
    <row r="117" spans="1:46" x14ac:dyDescent="0.2">
      <c r="A117" s="49">
        <v>11892.8310546875</v>
      </c>
      <c r="B117" s="111">
        <v>0.96157463388418651</v>
      </c>
      <c r="C117" s="111">
        <f t="shared" si="1"/>
        <v>3.8425366115813486E-2</v>
      </c>
      <c r="D117" s="15">
        <f t="shared" si="2"/>
        <v>5.2398226521563895E-3</v>
      </c>
      <c r="E117" s="5">
        <f>(2*Table!$AC$16*0.147)/A117</f>
        <v>7.7067508017006807E-3</v>
      </c>
      <c r="F117" s="5">
        <f t="shared" si="3"/>
        <v>1.5413501603401361E-2</v>
      </c>
      <c r="G117" s="49">
        <f>IF((('Raw Data'!C117)/('Raw Data'!C$135)*100)&lt;0,0,('Raw Data'!C117)/('Raw Data'!C$135)*100)</f>
        <v>96.157463388418648</v>
      </c>
      <c r="H117" s="49">
        <f t="shared" si="4"/>
        <v>0.52398226521563629</v>
      </c>
      <c r="I117" s="85">
        <f t="shared" si="5"/>
        <v>3.8462232052458134E-2</v>
      </c>
      <c r="J117" s="5">
        <f>'Raw Data'!F117/I117</f>
        <v>0.13623293221802271</v>
      </c>
      <c r="K117" s="24">
        <f t="shared" si="6"/>
        <v>21.067850727183529</v>
      </c>
      <c r="L117" s="49">
        <f>A117*Table!$AC$9/$AC$16</f>
        <v>2670.3860718395781</v>
      </c>
      <c r="M117" s="49">
        <f>A117*Table!$AD$9/$AC$16</f>
        <v>915.56093891642684</v>
      </c>
      <c r="N117" s="49">
        <f>ABS(A117*Table!$AE$9/$AC$16)</f>
        <v>1156.3110880626059</v>
      </c>
      <c r="O117" s="49">
        <f>($L117*(Table!$AC$10/Table!$AC$9)/(Table!$AC$12-Table!$AC$14))</f>
        <v>5727.9838520797475</v>
      </c>
      <c r="P117" s="49">
        <f>ROUND(($N117*(Table!$AE$10/Table!$AE$9)/(Table!$AC$12-Table!$AC$13)),2)</f>
        <v>9493.52</v>
      </c>
      <c r="Q117" s="49">
        <f>'Raw Data'!C117</f>
        <v>1.4314</v>
      </c>
      <c r="R117" s="49">
        <f>'Raw Data'!C117/'Raw Data'!I$30*100</f>
        <v>13.28368156723257</v>
      </c>
      <c r="S117" s="54">
        <f t="shared" si="7"/>
        <v>5.8734939759036139E-2</v>
      </c>
      <c r="T117" s="54">
        <f t="shared" si="8"/>
        <v>6.3308024335073654E-6</v>
      </c>
      <c r="U117" s="91">
        <f t="shared" si="9"/>
        <v>1.1169486479837678E-3</v>
      </c>
      <c r="V117" s="91">
        <f t="shared" si="10"/>
        <v>4.0662778269878463E-3</v>
      </c>
      <c r="W117" s="91">
        <f t="shared" si="11"/>
        <v>4.3606293465004692E-7</v>
      </c>
      <c r="X117" s="145">
        <f t="shared" si="12"/>
        <v>0.21499908022817854</v>
      </c>
      <c r="Z117" s="111"/>
      <c r="AS117" s="147"/>
      <c r="AT117" s="147"/>
    </row>
    <row r="118" spans="1:46" x14ac:dyDescent="0.2">
      <c r="A118" s="49">
        <v>12992.2548828125</v>
      </c>
      <c r="B118" s="111">
        <v>0.96627703882842941</v>
      </c>
      <c r="C118" s="111">
        <f t="shared" si="1"/>
        <v>3.3722961171570587E-2</v>
      </c>
      <c r="D118" s="15">
        <f t="shared" si="2"/>
        <v>4.7024049442428995E-3</v>
      </c>
      <c r="E118" s="5">
        <f>(2*Table!$AC$16*0.147)/A118</f>
        <v>7.0545941479684543E-3</v>
      </c>
      <c r="F118" s="5">
        <f t="shared" si="3"/>
        <v>1.4109188295936909E-2</v>
      </c>
      <c r="G118" s="49">
        <f>IF((('Raw Data'!C118)/('Raw Data'!C$135)*100)&lt;0,0,('Raw Data'!C118)/('Raw Data'!C$135)*100)</f>
        <v>96.627703882842937</v>
      </c>
      <c r="H118" s="49">
        <f t="shared" si="4"/>
        <v>0.47024049442428861</v>
      </c>
      <c r="I118" s="85">
        <f t="shared" si="5"/>
        <v>3.839928250035296E-2</v>
      </c>
      <c r="J118" s="5">
        <f>'Raw Data'!F118/I118</f>
        <v>0.1224607502548954</v>
      </c>
      <c r="K118" s="24">
        <f t="shared" si="6"/>
        <v>23.01545235293073</v>
      </c>
      <c r="L118" s="49">
        <f>A118*Table!$AC$9/$AC$16</f>
        <v>2917.2479051720534</v>
      </c>
      <c r="M118" s="49">
        <f>A118*Table!$AD$9/$AC$16</f>
        <v>1000.1992817732754</v>
      </c>
      <c r="N118" s="49">
        <f>ABS(A118*Table!$AE$9/$AC$16)</f>
        <v>1263.2053975079677</v>
      </c>
      <c r="O118" s="49">
        <f>($L118*(Table!$AC$10/Table!$AC$9)/(Table!$AC$12-Table!$AC$14))</f>
        <v>6257.5030140970694</v>
      </c>
      <c r="P118" s="49">
        <f>ROUND(($N118*(Table!$AE$10/Table!$AE$9)/(Table!$AC$12-Table!$AC$13)),2)</f>
        <v>10371.14</v>
      </c>
      <c r="Q118" s="49">
        <f>'Raw Data'!C118</f>
        <v>1.4383999999999999</v>
      </c>
      <c r="R118" s="49">
        <f>'Raw Data'!C118/'Raw Data'!I$30*100</f>
        <v>13.348642983308178</v>
      </c>
      <c r="S118" s="54">
        <f t="shared" si="7"/>
        <v>5.2710843373493813E-2</v>
      </c>
      <c r="T118" s="54">
        <f t="shared" si="8"/>
        <v>4.8056449356570496E-6</v>
      </c>
      <c r="U118" s="91">
        <f t="shared" si="9"/>
        <v>1.0274308119499059E-3</v>
      </c>
      <c r="V118" s="91">
        <f t="shared" si="10"/>
        <v>3.5305837521227676E-3</v>
      </c>
      <c r="W118" s="91">
        <f t="shared" si="11"/>
        <v>3.2790953515423028E-7</v>
      </c>
      <c r="X118" s="145">
        <f t="shared" si="12"/>
        <v>0.2149994081377137</v>
      </c>
      <c r="Z118" s="111"/>
      <c r="AS118" s="147"/>
      <c r="AT118" s="147"/>
    </row>
    <row r="119" spans="1:46" x14ac:dyDescent="0.2">
      <c r="A119" s="49">
        <v>14291.4453125</v>
      </c>
      <c r="B119" s="111">
        <v>0.97111379819965071</v>
      </c>
      <c r="C119" s="111">
        <f t="shared" si="1"/>
        <v>2.8886201800349287E-2</v>
      </c>
      <c r="D119" s="15">
        <f t="shared" si="2"/>
        <v>4.8367593712212997E-3</v>
      </c>
      <c r="E119" s="5">
        <f>(2*Table!$AC$16*0.147)/A119</f>
        <v>6.4132831397421784E-3</v>
      </c>
      <c r="F119" s="5">
        <f t="shared" si="3"/>
        <v>1.2826566279484357E-2</v>
      </c>
      <c r="G119" s="49">
        <f>IF((('Raw Data'!C119)/('Raw Data'!C$135)*100)&lt;0,0,('Raw Data'!C119)/('Raw Data'!C$135)*100)</f>
        <v>97.111379819965066</v>
      </c>
      <c r="H119" s="49">
        <f t="shared" si="4"/>
        <v>0.48367593712212908</v>
      </c>
      <c r="I119" s="85">
        <f t="shared" si="5"/>
        <v>4.1391619784163503E-2</v>
      </c>
      <c r="J119" s="5">
        <f>'Raw Data'!F119/I119</f>
        <v>0.11685359008520491</v>
      </c>
      <c r="K119" s="24">
        <f t="shared" si="6"/>
        <v>25.316935482807821</v>
      </c>
      <c r="L119" s="49">
        <f>A119*Table!$AC$9/$AC$16</f>
        <v>3208.9648237216829</v>
      </c>
      <c r="M119" s="49">
        <f>A119*Table!$AD$9/$AC$16</f>
        <v>1100.2165109902912</v>
      </c>
      <c r="N119" s="49">
        <f>ABS(A119*Table!$AE$9/$AC$16)</f>
        <v>1389.5225285968154</v>
      </c>
      <c r="O119" s="49">
        <f>($L119*(Table!$AC$10/Table!$AC$9)/(Table!$AC$12-Table!$AC$14))</f>
        <v>6883.2364301194411</v>
      </c>
      <c r="P119" s="49">
        <f>ROUND(($N119*(Table!$AE$10/Table!$AE$9)/(Table!$AC$12-Table!$AC$13)),2)</f>
        <v>11408.23</v>
      </c>
      <c r="Q119" s="49">
        <f>'Raw Data'!C119</f>
        <v>1.4456</v>
      </c>
      <c r="R119" s="49">
        <f>'Raw Data'!C119/'Raw Data'!I$30*100</f>
        <v>13.415460439843091</v>
      </c>
      <c r="S119" s="54">
        <f t="shared" si="7"/>
        <v>5.4216867469879707E-2</v>
      </c>
      <c r="T119" s="54">
        <f t="shared" si="8"/>
        <v>3.5091646688467648E-6</v>
      </c>
      <c r="U119" s="91">
        <f t="shared" si="9"/>
        <v>9.3870564848394099E-4</v>
      </c>
      <c r="V119" s="91">
        <f t="shared" si="10"/>
        <v>3.0305409989355727E-3</v>
      </c>
      <c r="W119" s="91">
        <f t="shared" si="11"/>
        <v>2.7874382957418144E-7</v>
      </c>
      <c r="X119" s="145">
        <f t="shared" si="12"/>
        <v>0.21499968688154328</v>
      </c>
      <c r="Z119" s="111"/>
      <c r="AS119" s="147"/>
      <c r="AT119" s="147"/>
    </row>
    <row r="120" spans="1:46" x14ac:dyDescent="0.2">
      <c r="A120" s="49">
        <v>15593.5263671875</v>
      </c>
      <c r="B120" s="111">
        <v>0.97487572215504514</v>
      </c>
      <c r="C120" s="111">
        <f t="shared" si="1"/>
        <v>2.5124277844954856E-2</v>
      </c>
      <c r="D120" s="15">
        <f t="shared" si="2"/>
        <v>3.7619239553944306E-3</v>
      </c>
      <c r="E120" s="5">
        <f>(2*Table!$AC$16*0.147)/A120</f>
        <v>5.8777651127116318E-3</v>
      </c>
      <c r="F120" s="5">
        <f t="shared" si="3"/>
        <v>1.1755530225423264E-2</v>
      </c>
      <c r="G120" s="49">
        <f>IF((('Raw Data'!C120)/('Raw Data'!C$135)*100)&lt;0,0,('Raw Data'!C120)/('Raw Data'!C$135)*100)</f>
        <v>97.487572215504514</v>
      </c>
      <c r="H120" s="49">
        <f t="shared" si="4"/>
        <v>0.37619239553944794</v>
      </c>
      <c r="I120" s="85">
        <f t="shared" si="5"/>
        <v>3.7868187183196067E-2</v>
      </c>
      <c r="J120" s="5">
        <f>'Raw Data'!F120/I120</f>
        <v>9.9342594278285831E-2</v>
      </c>
      <c r="K120" s="24">
        <f t="shared" si="6"/>
        <v>27.623539282080472</v>
      </c>
      <c r="L120" s="49">
        <f>A120*Table!$AC$9/$AC$16</f>
        <v>3501.3307958653149</v>
      </c>
      <c r="M120" s="49">
        <f>A120*Table!$AD$9/$AC$16</f>
        <v>1200.456272868108</v>
      </c>
      <c r="N120" s="49">
        <f>ABS(A120*Table!$AE$9/$AC$16)</f>
        <v>1516.1207081360747</v>
      </c>
      <c r="O120" s="49">
        <f>($L120*(Table!$AC$10/Table!$AC$9)/(Table!$AC$12-Table!$AC$14))</f>
        <v>7510.3620674931681</v>
      </c>
      <c r="P120" s="49">
        <f>ROUND(($N120*(Table!$AE$10/Table!$AE$9)/(Table!$AC$12-Table!$AC$13)),2)</f>
        <v>12447.62</v>
      </c>
      <c r="Q120" s="49">
        <f>'Raw Data'!C120</f>
        <v>1.4512</v>
      </c>
      <c r="R120" s="49">
        <f>'Raw Data'!C120/'Raw Data'!I$30*100</f>
        <v>13.46742957270358</v>
      </c>
      <c r="S120" s="54">
        <f t="shared" si="7"/>
        <v>4.2168674698796295E-2</v>
      </c>
      <c r="T120" s="54">
        <f t="shared" si="8"/>
        <v>2.6621614375166303E-6</v>
      </c>
      <c r="U120" s="91">
        <f t="shared" si="9"/>
        <v>8.6365516404565581E-4</v>
      </c>
      <c r="V120" s="91">
        <f t="shared" si="10"/>
        <v>2.6322338414584796E-3</v>
      </c>
      <c r="W120" s="91">
        <f t="shared" si="11"/>
        <v>1.821060685553285E-7</v>
      </c>
      <c r="X120" s="145">
        <f t="shared" si="12"/>
        <v>0.21499986898761184</v>
      </c>
      <c r="Z120" s="111"/>
      <c r="AS120" s="147"/>
      <c r="AT120" s="147"/>
    </row>
    <row r="121" spans="1:46" x14ac:dyDescent="0.2">
      <c r="A121" s="49">
        <v>17093.470703125</v>
      </c>
      <c r="B121" s="111">
        <v>0.97830176004299341</v>
      </c>
      <c r="C121" s="111">
        <f t="shared" si="1"/>
        <v>2.1698239957006593E-2</v>
      </c>
      <c r="D121" s="15">
        <f t="shared" si="2"/>
        <v>3.4260378879482634E-3</v>
      </c>
      <c r="E121" s="5">
        <f>(2*Table!$AC$16*0.147)/A121</f>
        <v>5.361993878074592E-3</v>
      </c>
      <c r="F121" s="5">
        <f t="shared" si="3"/>
        <v>1.0723987756149184E-2</v>
      </c>
      <c r="G121" s="49">
        <f>IF((('Raw Data'!C121)/('Raw Data'!C$135)*100)&lt;0,0,('Raw Data'!C121)/('Raw Data'!C$135)*100)</f>
        <v>97.830176004299346</v>
      </c>
      <c r="H121" s="49">
        <f t="shared" si="4"/>
        <v>0.34260378879483255</v>
      </c>
      <c r="I121" s="85">
        <f t="shared" si="5"/>
        <v>3.9885913002360329E-2</v>
      </c>
      <c r="J121" s="5">
        <f>'Raw Data'!F121/I121</f>
        <v>8.5895937439003103E-2</v>
      </c>
      <c r="K121" s="24">
        <f t="shared" si="6"/>
        <v>30.28065290147898</v>
      </c>
      <c r="L121" s="49">
        <f>A121*Table!$AC$9/$AC$16</f>
        <v>3838.1244865184285</v>
      </c>
      <c r="M121" s="49">
        <f>A121*Table!$AD$9/$AC$16</f>
        <v>1315.9283953777469</v>
      </c>
      <c r="N121" s="49">
        <f>ABS(A121*Table!$AE$9/$AC$16)</f>
        <v>1661.9566541060317</v>
      </c>
      <c r="O121" s="49">
        <f>($L121*(Table!$AC$10/Table!$AC$9)/(Table!$AC$12-Table!$AC$14))</f>
        <v>8232.7852563672859</v>
      </c>
      <c r="P121" s="49">
        <f>ROUND(($N121*(Table!$AE$10/Table!$AE$9)/(Table!$AC$12-Table!$AC$13)),2)</f>
        <v>13644.96</v>
      </c>
      <c r="Q121" s="49">
        <f>'Raw Data'!C121</f>
        <v>1.4562999999999999</v>
      </c>
      <c r="R121" s="49">
        <f>'Raw Data'!C121/'Raw Data'!I$30*100</f>
        <v>13.514758604415809</v>
      </c>
      <c r="S121" s="54">
        <f t="shared" si="7"/>
        <v>3.8403614457829693E-2</v>
      </c>
      <c r="T121" s="54">
        <f t="shared" si="8"/>
        <v>2.0202200298191642E-6</v>
      </c>
      <c r="U121" s="91">
        <f t="shared" si="9"/>
        <v>7.9063865022713394E-4</v>
      </c>
      <c r="V121" s="91">
        <f t="shared" si="10"/>
        <v>2.2670117072416647E-3</v>
      </c>
      <c r="W121" s="91">
        <f t="shared" si="11"/>
        <v>1.3801768597269551E-7</v>
      </c>
      <c r="X121" s="145">
        <f t="shared" si="12"/>
        <v>0.21500000700529781</v>
      </c>
      <c r="Z121" s="111"/>
      <c r="AS121" s="147"/>
      <c r="AT121" s="147"/>
    </row>
    <row r="122" spans="1:46" x14ac:dyDescent="0.2">
      <c r="A122" s="49">
        <v>18690.732421875</v>
      </c>
      <c r="B122" s="111">
        <v>0.98172779793094189</v>
      </c>
      <c r="C122" s="111">
        <f t="shared" si="1"/>
        <v>1.8272202069058108E-2</v>
      </c>
      <c r="D122" s="15">
        <f t="shared" si="2"/>
        <v>3.4260378879484854E-3</v>
      </c>
      <c r="E122" s="5">
        <f>(2*Table!$AC$16*0.147)/A122</f>
        <v>4.9037717300972981E-3</v>
      </c>
      <c r="F122" s="5">
        <f t="shared" si="3"/>
        <v>9.8075434601945961E-3</v>
      </c>
      <c r="G122" s="49">
        <f>IF((('Raw Data'!C122)/('Raw Data'!C$135)*100)&lt;0,0,('Raw Data'!C122)/('Raw Data'!C$135)*100)</f>
        <v>98.172779793094193</v>
      </c>
      <c r="H122" s="49">
        <f t="shared" si="4"/>
        <v>0.34260378879484676</v>
      </c>
      <c r="I122" s="85">
        <f t="shared" si="5"/>
        <v>3.8796068169836495E-2</v>
      </c>
      <c r="J122" s="5">
        <f>'Raw Data'!F122/I122</f>
        <v>8.8308894420702957E-2</v>
      </c>
      <c r="K122" s="24">
        <f t="shared" si="6"/>
        <v>33.110161813875941</v>
      </c>
      <c r="L122" s="49">
        <f>A122*Table!$AC$9/$AC$16</f>
        <v>4196.7695750780103</v>
      </c>
      <c r="M122" s="49">
        <f>A122*Table!$AD$9/$AC$16</f>
        <v>1438.8924257410322</v>
      </c>
      <c r="N122" s="49">
        <f>ABS(A122*Table!$AE$9/$AC$16)</f>
        <v>1817.2545329235907</v>
      </c>
      <c r="O122" s="49">
        <f>($L122*(Table!$AC$10/Table!$AC$9)/(Table!$AC$12-Table!$AC$14))</f>
        <v>9002.0797406220736</v>
      </c>
      <c r="P122" s="49">
        <f>ROUND(($N122*(Table!$AE$10/Table!$AE$9)/(Table!$AC$12-Table!$AC$13)),2)</f>
        <v>14919.99</v>
      </c>
      <c r="Q122" s="49">
        <f>'Raw Data'!C122</f>
        <v>1.4614</v>
      </c>
      <c r="R122" s="49">
        <f>'Raw Data'!C122/'Raw Data'!I$30*100</f>
        <v>13.562087636128039</v>
      </c>
      <c r="S122" s="54">
        <f t="shared" si="7"/>
        <v>3.8403614457832184E-2</v>
      </c>
      <c r="T122" s="54">
        <f t="shared" si="8"/>
        <v>1.4833078526566013E-6</v>
      </c>
      <c r="U122" s="91">
        <f t="shared" si="9"/>
        <v>7.2560493243461295E-4</v>
      </c>
      <c r="V122" s="91">
        <f t="shared" si="10"/>
        <v>1.9607263182878881E-3</v>
      </c>
      <c r="W122" s="91">
        <f t="shared" si="11"/>
        <v>1.1543635506645343E-7</v>
      </c>
      <c r="X122" s="145">
        <f t="shared" si="12"/>
        <v>0.21500012244165287</v>
      </c>
      <c r="Z122" s="111"/>
      <c r="AS122" s="147"/>
      <c r="AT122" s="147"/>
    </row>
    <row r="123" spans="1:46" x14ac:dyDescent="0.2">
      <c r="A123" s="49">
        <v>20386.40234375</v>
      </c>
      <c r="B123" s="111">
        <v>0.98495230417842272</v>
      </c>
      <c r="C123" s="111">
        <f t="shared" si="1"/>
        <v>1.5047695821577278E-2</v>
      </c>
      <c r="D123" s="15">
        <f t="shared" si="2"/>
        <v>3.2245062474808295E-3</v>
      </c>
      <c r="E123" s="5">
        <f>(2*Table!$AC$16*0.147)/A123</f>
        <v>4.4958930820524576E-3</v>
      </c>
      <c r="F123" s="5">
        <f t="shared" si="3"/>
        <v>8.9917861641049153E-3</v>
      </c>
      <c r="G123" s="49">
        <f>IF((('Raw Data'!C123)/('Raw Data'!C$135)*100)&lt;0,0,('Raw Data'!C123)/('Raw Data'!C$135)*100)</f>
        <v>98.495230417842265</v>
      </c>
      <c r="H123" s="49">
        <f t="shared" si="4"/>
        <v>0.32245062474807185</v>
      </c>
      <c r="I123" s="85">
        <f t="shared" si="5"/>
        <v>3.7714271013090883E-2</v>
      </c>
      <c r="J123" s="5">
        <f>'Raw Data'!F123/I123</f>
        <v>8.549830504112306E-2</v>
      </c>
      <c r="K123" s="24">
        <f t="shared" si="6"/>
        <v>36.113998379985816</v>
      </c>
      <c r="L123" s="49">
        <f>A123*Table!$AC$9/$AC$16</f>
        <v>4577.5109915658513</v>
      </c>
      <c r="M123" s="49">
        <f>A123*Table!$AD$9/$AC$16</f>
        <v>1569.4323399654349</v>
      </c>
      <c r="N123" s="49">
        <f>ABS(A123*Table!$AE$9/$AC$16)</f>
        <v>1982.1204023992618</v>
      </c>
      <c r="O123" s="49">
        <f>($L123*(Table!$AC$10/Table!$AC$9)/(Table!$AC$12-Table!$AC$14))</f>
        <v>9818.7708956796487</v>
      </c>
      <c r="P123" s="49">
        <f>ROUND(($N123*(Table!$AE$10/Table!$AE$9)/(Table!$AC$12-Table!$AC$13)),2)</f>
        <v>16273.57</v>
      </c>
      <c r="Q123" s="49">
        <f>'Raw Data'!C123</f>
        <v>1.4661999999999999</v>
      </c>
      <c r="R123" s="49">
        <f>'Raw Data'!C123/'Raw Data'!I$30*100</f>
        <v>13.606632607151315</v>
      </c>
      <c r="S123" s="54">
        <f t="shared" si="7"/>
        <v>3.6144578313252726E-2</v>
      </c>
      <c r="T123" s="54">
        <f t="shared" si="8"/>
        <v>1.0585457391742992E-6</v>
      </c>
      <c r="U123" s="91">
        <f t="shared" si="9"/>
        <v>6.6743667557031192E-4</v>
      </c>
      <c r="V123" s="91">
        <f t="shared" si="10"/>
        <v>1.7023557409753748E-3</v>
      </c>
      <c r="W123" s="91">
        <f t="shared" si="11"/>
        <v>9.1324041891176143E-8</v>
      </c>
      <c r="X123" s="145">
        <f t="shared" si="12"/>
        <v>0.21500021376569475</v>
      </c>
      <c r="Z123" s="111"/>
      <c r="AS123" s="147"/>
      <c r="AT123" s="147"/>
    </row>
    <row r="124" spans="1:46" x14ac:dyDescent="0.2">
      <c r="A124" s="49">
        <v>22293.76171875</v>
      </c>
      <c r="B124" s="111">
        <v>0.98777374714496846</v>
      </c>
      <c r="C124" s="111">
        <f t="shared" si="1"/>
        <v>1.2226252855031539E-2</v>
      </c>
      <c r="D124" s="15">
        <f t="shared" si="2"/>
        <v>2.8214429665457397E-3</v>
      </c>
      <c r="E124" s="5">
        <f>(2*Table!$AC$16*0.147)/A124</f>
        <v>4.111243603546629E-3</v>
      </c>
      <c r="F124" s="5">
        <f t="shared" si="3"/>
        <v>8.222487207093258E-3</v>
      </c>
      <c r="G124" s="49">
        <f>IF((('Raw Data'!C124)/('Raw Data'!C$135)*100)&lt;0,0,('Raw Data'!C124)/('Raw Data'!C$135)*100)</f>
        <v>98.777374714496844</v>
      </c>
      <c r="H124" s="49">
        <f t="shared" si="4"/>
        <v>0.28214429665457885</v>
      </c>
      <c r="I124" s="85">
        <f t="shared" si="5"/>
        <v>3.884276382230345E-2</v>
      </c>
      <c r="J124" s="5">
        <f>'Raw Data'!F124/I124</f>
        <v>7.2637544008278626E-2</v>
      </c>
      <c r="K124" s="24">
        <f t="shared" si="6"/>
        <v>39.492837481526387</v>
      </c>
      <c r="L124" s="49">
        <f>A124*Table!$AC$9/$AC$16</f>
        <v>5005.7846200712456</v>
      </c>
      <c r="M124" s="49">
        <f>A124*Table!$AD$9/$AC$16</f>
        <v>1716.2690125958557</v>
      </c>
      <c r="N124" s="49">
        <f>ABS(A124*Table!$AE$9/$AC$16)</f>
        <v>2167.5683234275666</v>
      </c>
      <c r="O124" s="49">
        <f>($L124*(Table!$AC$10/Table!$AC$9)/(Table!$AC$12-Table!$AC$14))</f>
        <v>10737.418747471571</v>
      </c>
      <c r="P124" s="49">
        <f>ROUND(($N124*(Table!$AE$10/Table!$AE$9)/(Table!$AC$12-Table!$AC$13)),2)</f>
        <v>17796.13</v>
      </c>
      <c r="Q124" s="49">
        <f>'Raw Data'!C124</f>
        <v>1.4703999999999999</v>
      </c>
      <c r="R124" s="49">
        <f>'Raw Data'!C124/'Raw Data'!I$30*100</f>
        <v>13.645609456796681</v>
      </c>
      <c r="S124" s="54">
        <f t="shared" si="7"/>
        <v>3.1626506024096286E-2</v>
      </c>
      <c r="T124" s="54">
        <f t="shared" si="8"/>
        <v>7.4775483593914061E-7</v>
      </c>
      <c r="U124" s="91">
        <f t="shared" si="9"/>
        <v>6.1208196395676662E-4</v>
      </c>
      <c r="V124" s="91">
        <f t="shared" si="10"/>
        <v>1.470509720348991E-3</v>
      </c>
      <c r="W124" s="91">
        <f t="shared" si="11"/>
        <v>6.6820181348223537E-8</v>
      </c>
      <c r="X124" s="145">
        <f t="shared" si="12"/>
        <v>0.21500028058587611</v>
      </c>
      <c r="Z124" s="111"/>
      <c r="AS124" s="147"/>
      <c r="AT124" s="147"/>
    </row>
    <row r="125" spans="1:46" x14ac:dyDescent="0.2">
      <c r="A125" s="49">
        <v>24394.078125</v>
      </c>
      <c r="B125" s="111">
        <v>0.99025930404406826</v>
      </c>
      <c r="C125" s="111">
        <f t="shared" si="1"/>
        <v>9.7406959559317441E-3</v>
      </c>
      <c r="D125" s="15">
        <f t="shared" si="2"/>
        <v>2.4855568990997945E-3</v>
      </c>
      <c r="E125" s="5">
        <f>(2*Table!$AC$16*0.147)/A125</f>
        <v>3.7572678416271832E-3</v>
      </c>
      <c r="F125" s="5">
        <f t="shared" si="3"/>
        <v>7.5145356832543664E-3</v>
      </c>
      <c r="G125" s="49">
        <f>IF((('Raw Data'!C125)/('Raw Data'!C$135)*100)&lt;0,0,('Raw Data'!C125)/('Raw Data'!C$135)*100)</f>
        <v>99.025930404406822</v>
      </c>
      <c r="H125" s="49">
        <f t="shared" si="4"/>
        <v>0.24855568990997767</v>
      </c>
      <c r="I125" s="85">
        <f t="shared" si="5"/>
        <v>3.9101055394182183E-2</v>
      </c>
      <c r="J125" s="5">
        <f>'Raw Data'!F125/I125</f>
        <v>6.356751433030676E-2</v>
      </c>
      <c r="K125" s="24">
        <f t="shared" si="6"/>
        <v>43.21349510486737</v>
      </c>
      <c r="L125" s="49">
        <f>A125*Table!$AC$9/$AC$16</f>
        <v>5477.3843301752186</v>
      </c>
      <c r="M125" s="49">
        <f>A125*Table!$AD$9/$AC$16</f>
        <v>1877.9603417743608</v>
      </c>
      <c r="N125" s="49">
        <f>ABS(A125*Table!$AE$9/$AC$16)</f>
        <v>2371.7769881112754</v>
      </c>
      <c r="O125" s="49">
        <f>($L125*(Table!$AC$10/Table!$AC$9)/(Table!$AC$12-Table!$AC$14))</f>
        <v>11749.001137226982</v>
      </c>
      <c r="P125" s="49">
        <f>ROUND(($N125*(Table!$AE$10/Table!$AE$9)/(Table!$AC$12-Table!$AC$13)),2)</f>
        <v>19472.72</v>
      </c>
      <c r="Q125" s="49">
        <f>'Raw Data'!C125</f>
        <v>1.4741</v>
      </c>
      <c r="R125" s="49">
        <f>'Raw Data'!C125/'Raw Data'!I$30*100</f>
        <v>13.679946205293788</v>
      </c>
      <c r="S125" s="54">
        <f t="shared" si="7"/>
        <v>2.7861445783132179E-2</v>
      </c>
      <c r="T125" s="54">
        <f t="shared" si="8"/>
        <v>5.1907987075328066E-7</v>
      </c>
      <c r="U125" s="91">
        <f t="shared" si="9"/>
        <v>5.6078963653371464E-4</v>
      </c>
      <c r="V125" s="91">
        <f t="shared" si="10"/>
        <v>1.2682172630587882E-3</v>
      </c>
      <c r="W125" s="91">
        <f t="shared" si="11"/>
        <v>4.9165218415648312E-8</v>
      </c>
      <c r="X125" s="145">
        <f t="shared" si="12"/>
        <v>0.21500032975109454</v>
      </c>
      <c r="Z125" s="111"/>
      <c r="AS125" s="147"/>
      <c r="AT125" s="147"/>
    </row>
    <row r="126" spans="1:46" x14ac:dyDescent="0.2">
      <c r="A126" s="49">
        <v>26694.287109375</v>
      </c>
      <c r="B126" s="111">
        <v>0.99261050651618976</v>
      </c>
      <c r="C126" s="111">
        <f t="shared" si="1"/>
        <v>7.3894934838102388E-3</v>
      </c>
      <c r="D126" s="15">
        <f t="shared" si="2"/>
        <v>2.3512024721215052E-3</v>
      </c>
      <c r="E126" s="5">
        <f>(2*Table!$AC$16*0.147)/A126</f>
        <v>3.4335093830999701E-3</v>
      </c>
      <c r="F126" s="5">
        <f t="shared" si="3"/>
        <v>6.8670187661999402E-3</v>
      </c>
      <c r="G126" s="49">
        <f>IF((('Raw Data'!C126)/('Raw Data'!C$135)*100)&lt;0,0,('Raw Data'!C126)/('Raw Data'!C$135)*100)</f>
        <v>99.261050651618973</v>
      </c>
      <c r="H126" s="49">
        <f t="shared" si="4"/>
        <v>0.23512024721215141</v>
      </c>
      <c r="I126" s="85">
        <f t="shared" si="5"/>
        <v>3.9133916830119464E-2</v>
      </c>
      <c r="J126" s="5">
        <f>'Raw Data'!F126/I126</f>
        <v>6.0080939056728906E-2</v>
      </c>
      <c r="K126" s="24">
        <f t="shared" si="6"/>
        <v>47.28825739664638</v>
      </c>
      <c r="L126" s="49">
        <f>A126*Table!$AC$9/$AC$16</f>
        <v>5993.8674119536527</v>
      </c>
      <c r="M126" s="49">
        <f>A126*Table!$AD$9/$AC$16</f>
        <v>2055.0402555269666</v>
      </c>
      <c r="N126" s="49">
        <f>ABS(A126*Table!$AE$9/$AC$16)</f>
        <v>2595.4207228337755</v>
      </c>
      <c r="O126" s="49">
        <f>($L126*(Table!$AC$10/Table!$AC$9)/(Table!$AC$12-Table!$AC$14))</f>
        <v>12856.858455499041</v>
      </c>
      <c r="P126" s="49">
        <f>ROUND(($N126*(Table!$AE$10/Table!$AE$9)/(Table!$AC$12-Table!$AC$13)),2)</f>
        <v>21308.87</v>
      </c>
      <c r="Q126" s="49">
        <f>'Raw Data'!C126</f>
        <v>1.4776</v>
      </c>
      <c r="R126" s="49">
        <f>'Raw Data'!C126/'Raw Data'!I$30*100</f>
        <v>13.712426913331594</v>
      </c>
      <c r="S126" s="54">
        <f t="shared" si="7"/>
        <v>2.6355421686747531E-2</v>
      </c>
      <c r="T126" s="54">
        <f t="shared" si="8"/>
        <v>3.384385466320694E-7</v>
      </c>
      <c r="U126" s="91">
        <f t="shared" si="9"/>
        <v>5.1368395256810612E-4</v>
      </c>
      <c r="V126" s="91">
        <f t="shared" si="10"/>
        <v>1.0933515610566306E-3</v>
      </c>
      <c r="W126" s="91">
        <f t="shared" si="11"/>
        <v>3.8837964413992126E-8</v>
      </c>
      <c r="X126" s="145">
        <f t="shared" si="12"/>
        <v>0.21500036858905897</v>
      </c>
      <c r="Z126" s="111"/>
      <c r="AS126" s="147"/>
      <c r="AT126" s="147"/>
    </row>
    <row r="127" spans="1:46" x14ac:dyDescent="0.2">
      <c r="A127" s="49">
        <v>29294.814453125</v>
      </c>
      <c r="B127" s="111">
        <v>0.99428993685341938</v>
      </c>
      <c r="C127" s="111">
        <f t="shared" si="1"/>
        <v>5.710063146580624E-3</v>
      </c>
      <c r="D127" s="15">
        <f t="shared" si="2"/>
        <v>1.6794303372296149E-3</v>
      </c>
      <c r="E127" s="5">
        <f>(2*Table!$AC$16*0.147)/A127</f>
        <v>3.1287136299109211E-3</v>
      </c>
      <c r="F127" s="5">
        <f t="shared" si="3"/>
        <v>6.2574272598218423E-3</v>
      </c>
      <c r="G127" s="49">
        <f>IF((('Raw Data'!C127)/('Raw Data'!C$135)*100)&lt;0,0,('Raw Data'!C127)/('Raw Data'!C$135)*100)</f>
        <v>99.428993685341936</v>
      </c>
      <c r="H127" s="49">
        <f t="shared" si="4"/>
        <v>0.16794303372296326</v>
      </c>
      <c r="I127" s="85">
        <f t="shared" si="5"/>
        <v>4.0372424432709941E-2</v>
      </c>
      <c r="J127" s="5">
        <f>'Raw Data'!F127/I127</f>
        <v>4.1598451438772943E-2</v>
      </c>
      <c r="K127" s="24">
        <f t="shared" si="6"/>
        <v>51.89502609941794</v>
      </c>
      <c r="L127" s="49">
        <f>A127*Table!$AC$9/$AC$16</f>
        <v>6577.7832152014307</v>
      </c>
      <c r="M127" s="49">
        <f>A127*Table!$AD$9/$AC$16</f>
        <v>2255.2399594976337</v>
      </c>
      <c r="N127" s="49">
        <f>ABS(A127*Table!$AE$9/$AC$16)</f>
        <v>2848.2636824756614</v>
      </c>
      <c r="O127" s="49">
        <f>($L127*(Table!$AC$10/Table!$AC$9)/(Table!$AC$12-Table!$AC$14))</f>
        <v>14109.359105966176</v>
      </c>
      <c r="P127" s="49">
        <f>ROUND(($N127*(Table!$AE$10/Table!$AE$9)/(Table!$AC$12-Table!$AC$13)),2)</f>
        <v>23384.76</v>
      </c>
      <c r="Q127" s="49">
        <f>'Raw Data'!C127</f>
        <v>1.4801</v>
      </c>
      <c r="R127" s="49">
        <f>'Raw Data'!C127/'Raw Data'!I$30*100</f>
        <v>13.735627419072882</v>
      </c>
      <c r="S127" s="54">
        <f t="shared" si="7"/>
        <v>1.882530120481931E-2</v>
      </c>
      <c r="T127" s="54">
        <f t="shared" si="8"/>
        <v>2.3130037674068404E-7</v>
      </c>
      <c r="U127" s="91">
        <f t="shared" si="9"/>
        <v>4.6887572683047477E-4</v>
      </c>
      <c r="V127" s="91">
        <f t="shared" si="10"/>
        <v>9.3698265518643044E-4</v>
      </c>
      <c r="W127" s="91">
        <f t="shared" si="11"/>
        <v>2.3034753807394556E-8</v>
      </c>
      <c r="X127" s="145">
        <f t="shared" si="12"/>
        <v>0.21500039162381276</v>
      </c>
      <c r="Z127" s="111"/>
      <c r="AS127" s="147"/>
      <c r="AT127" s="147"/>
    </row>
    <row r="128" spans="1:46" x14ac:dyDescent="0.2">
      <c r="A128" s="49">
        <v>31996.39453125</v>
      </c>
      <c r="B128" s="111">
        <v>0.99563348112320305</v>
      </c>
      <c r="C128" s="111">
        <f t="shared" si="1"/>
        <v>4.3665188767969543E-3</v>
      </c>
      <c r="D128" s="15">
        <f t="shared" si="2"/>
        <v>1.3435442697836697E-3</v>
      </c>
      <c r="E128" s="5">
        <f>(2*Table!$AC$16*0.147)/A128</f>
        <v>2.8645441653023323E-3</v>
      </c>
      <c r="F128" s="5">
        <f t="shared" si="3"/>
        <v>5.7290883306046645E-3</v>
      </c>
      <c r="G128" s="49">
        <f>IF((('Raw Data'!C128)/('Raw Data'!C$135)*100)&lt;0,0,('Raw Data'!C128)/('Raw Data'!C$135)*100)</f>
        <v>99.563348112320298</v>
      </c>
      <c r="H128" s="49">
        <f t="shared" si="4"/>
        <v>0.13435442697836208</v>
      </c>
      <c r="I128" s="85">
        <f t="shared" si="5"/>
        <v>3.8310291586550083E-2</v>
      </c>
      <c r="J128" s="5">
        <f>'Raw Data'!F128/I128</f>
        <v>3.5070061180514721E-2</v>
      </c>
      <c r="K128" s="24">
        <f t="shared" si="6"/>
        <v>56.680807176417012</v>
      </c>
      <c r="L128" s="49">
        <f>A128*Table!$AC$9/$AC$16</f>
        <v>7184.3891427060362</v>
      </c>
      <c r="M128" s="49">
        <f>A128*Table!$AD$9/$AC$16</f>
        <v>2463.2191346420695</v>
      </c>
      <c r="N128" s="49">
        <f>ABS(A128*Table!$AE$9/$AC$16)</f>
        <v>3110.9317541282662</v>
      </c>
      <c r="O128" s="49">
        <f>($L128*(Table!$AC$10/Table!$AC$9)/(Table!$AC$12-Table!$AC$14))</f>
        <v>15410.530121634571</v>
      </c>
      <c r="P128" s="49">
        <f>ROUND(($N128*(Table!$AE$10/Table!$AE$9)/(Table!$AC$12-Table!$AC$13)),2)</f>
        <v>25541.31</v>
      </c>
      <c r="Q128" s="49">
        <f>'Raw Data'!C128</f>
        <v>1.4821</v>
      </c>
      <c r="R128" s="49">
        <f>'Raw Data'!C128/'Raw Data'!I$30*100</f>
        <v>13.754187823665914</v>
      </c>
      <c r="S128" s="54">
        <f t="shared" si="7"/>
        <v>1.5060240963855198E-2</v>
      </c>
      <c r="T128" s="54">
        <f t="shared" si="8"/>
        <v>1.5945255149585336E-7</v>
      </c>
      <c r="U128" s="91">
        <f t="shared" si="9"/>
        <v>4.2986680296845875E-4</v>
      </c>
      <c r="V128" s="91">
        <f t="shared" si="10"/>
        <v>8.0898511935398939E-4</v>
      </c>
      <c r="W128" s="91">
        <f t="shared" si="11"/>
        <v>1.5447314147152698E-8</v>
      </c>
      <c r="X128" s="145">
        <f t="shared" si="12"/>
        <v>0.21500040707112691</v>
      </c>
      <c r="Z128" s="111"/>
      <c r="AS128" s="147"/>
      <c r="AT128" s="147"/>
    </row>
    <row r="129" spans="1:46" x14ac:dyDescent="0.2">
      <c r="A129" s="49">
        <v>34994.26171875</v>
      </c>
      <c r="B129" s="111">
        <v>0.99704420260647586</v>
      </c>
      <c r="C129" s="111">
        <f t="shared" si="1"/>
        <v>2.9557973935241399E-3</v>
      </c>
      <c r="D129" s="15">
        <f t="shared" si="2"/>
        <v>1.4107214832728143E-3</v>
      </c>
      <c r="E129" s="5">
        <f>(2*Table!$AC$16*0.147)/A129</f>
        <v>2.6191461332100243E-3</v>
      </c>
      <c r="F129" s="5">
        <f t="shared" si="3"/>
        <v>5.2382922664200486E-3</v>
      </c>
      <c r="G129" s="49">
        <f>IF((('Raw Data'!C129)/('Raw Data'!C$135)*100)&lt;0,0,('Raw Data'!C129)/('Raw Data'!C$135)*100)</f>
        <v>99.704420260647581</v>
      </c>
      <c r="H129" s="49">
        <f t="shared" si="4"/>
        <v>0.14107214832728232</v>
      </c>
      <c r="I129" s="85">
        <f t="shared" si="5"/>
        <v>3.8895792331060886E-2</v>
      </c>
      <c r="J129" s="5">
        <f>'Raw Data'!F129/I129</f>
        <v>3.6269256871424085E-2</v>
      </c>
      <c r="K129" s="24">
        <f t="shared" si="6"/>
        <v>61.991453406548892</v>
      </c>
      <c r="L129" s="49">
        <f>A129*Table!$AC$9/$AC$16</f>
        <v>7857.5226250461874</v>
      </c>
      <c r="M129" s="49">
        <f>A129*Table!$AD$9/$AC$16</f>
        <v>2694.0077571586926</v>
      </c>
      <c r="N129" s="49">
        <f>ABS(A129*Table!$AE$9/$AC$16)</f>
        <v>3402.4071020504934</v>
      </c>
      <c r="O129" s="49">
        <f>($L129*(Table!$AC$10/Table!$AC$9)/(Table!$AC$12-Table!$AC$14))</f>
        <v>16854.402885126958</v>
      </c>
      <c r="P129" s="49">
        <f>ROUND(($N129*(Table!$AE$10/Table!$AE$9)/(Table!$AC$12-Table!$AC$13)),2)</f>
        <v>27934.38</v>
      </c>
      <c r="Q129" s="49">
        <f>'Raw Data'!C129</f>
        <v>1.4842</v>
      </c>
      <c r="R129" s="49">
        <f>'Raw Data'!C129/'Raw Data'!I$30*100</f>
        <v>13.773676248488599</v>
      </c>
      <c r="S129" s="54">
        <f t="shared" si="7"/>
        <v>1.5813253012047522E-2</v>
      </c>
      <c r="T129" s="54">
        <f t="shared" si="8"/>
        <v>9.6384220049650082E-8</v>
      </c>
      <c r="U129" s="91">
        <f t="shared" si="9"/>
        <v>3.9359813786580427E-4</v>
      </c>
      <c r="V129" s="91">
        <f t="shared" si="10"/>
        <v>6.9695955753796548E-4</v>
      </c>
      <c r="W129" s="91">
        <f t="shared" si="11"/>
        <v>1.3559719108554533E-8</v>
      </c>
      <c r="X129" s="145">
        <f t="shared" si="12"/>
        <v>0.21500042063084601</v>
      </c>
      <c r="Z129" s="111"/>
      <c r="AS129" s="147"/>
      <c r="AT129" s="147"/>
    </row>
    <row r="130" spans="1:46" x14ac:dyDescent="0.2">
      <c r="A130" s="49">
        <v>38273.91015625</v>
      </c>
      <c r="B130" s="111">
        <v>0.99832056966277039</v>
      </c>
      <c r="C130" s="111">
        <f t="shared" si="1"/>
        <v>1.6794303372296149E-3</v>
      </c>
      <c r="D130" s="15">
        <f t="shared" si="2"/>
        <v>1.2763670562945251E-3</v>
      </c>
      <c r="E130" s="5">
        <f>(2*Table!$AC$16*0.147)/A130</f>
        <v>2.3947144384001925E-3</v>
      </c>
      <c r="F130" s="5">
        <f t="shared" si="3"/>
        <v>4.789428876800385E-3</v>
      </c>
      <c r="G130" s="49">
        <f>IF((('Raw Data'!C130)/('Raw Data'!C$135)*100)&lt;0,0,('Raw Data'!C130)/('Raw Data'!C$135)*100)</f>
        <v>99.832056966277037</v>
      </c>
      <c r="H130" s="49">
        <f t="shared" si="4"/>
        <v>0.12763670562945606</v>
      </c>
      <c r="I130" s="85">
        <f t="shared" si="5"/>
        <v>3.890599753260382E-2</v>
      </c>
      <c r="J130" s="5">
        <f>'Raw Data'!F130/I130</f>
        <v>3.2806434412198528E-2</v>
      </c>
      <c r="K130" s="24">
        <f t="shared" si="6"/>
        <v>67.801268025218448</v>
      </c>
      <c r="L130" s="49">
        <f>A130*Table!$AC$9/$AC$16</f>
        <v>8593.9265534092774</v>
      </c>
      <c r="M130" s="49">
        <f>A130*Table!$AD$9/$AC$16</f>
        <v>2946.4891040260381</v>
      </c>
      <c r="N130" s="49">
        <f>ABS(A130*Table!$AE$9/$AC$16)</f>
        <v>3721.2793567550402</v>
      </c>
      <c r="O130" s="49">
        <f>($L130*(Table!$AC$10/Table!$AC$9)/(Table!$AC$12-Table!$AC$14))</f>
        <v>18433.990891053792</v>
      </c>
      <c r="P130" s="49">
        <f>ROUND(($N130*(Table!$AE$10/Table!$AE$9)/(Table!$AC$12-Table!$AC$13)),2)</f>
        <v>30552.38</v>
      </c>
      <c r="Q130" s="49">
        <f>'Raw Data'!C130</f>
        <v>1.4861</v>
      </c>
      <c r="R130" s="49">
        <f>'Raw Data'!C130/'Raw Data'!I$30*100</f>
        <v>13.791308632851978</v>
      </c>
      <c r="S130" s="54">
        <f t="shared" si="7"/>
        <v>1.4307228915662874E-2</v>
      </c>
      <c r="T130" s="54">
        <f t="shared" si="8"/>
        <v>4.8682542441724763E-8</v>
      </c>
      <c r="U130" s="91">
        <f t="shared" si="9"/>
        <v>3.6033184423932979E-4</v>
      </c>
      <c r="V130" s="91">
        <f t="shared" si="10"/>
        <v>6.0028441426495196E-4</v>
      </c>
      <c r="W130" s="91">
        <f t="shared" si="11"/>
        <v>1.025588173834397E-8</v>
      </c>
      <c r="X130" s="145">
        <f t="shared" si="12"/>
        <v>0.21500043088672774</v>
      </c>
      <c r="Z130" s="111"/>
      <c r="AS130" s="147"/>
      <c r="AT130" s="147"/>
    </row>
    <row r="131" spans="1:46" x14ac:dyDescent="0.2">
      <c r="A131" s="49">
        <v>41869.5703125</v>
      </c>
      <c r="B131" s="111">
        <v>0.99926105065161908</v>
      </c>
      <c r="C131" s="111">
        <f t="shared" si="1"/>
        <v>7.3894934838092396E-4</v>
      </c>
      <c r="D131" s="15">
        <f t="shared" si="2"/>
        <v>9.4048098884869091E-4</v>
      </c>
      <c r="E131" s="5">
        <f>(2*Table!$AC$16*0.147)/A131</f>
        <v>2.1890619985139989E-3</v>
      </c>
      <c r="F131" s="5">
        <f t="shared" si="3"/>
        <v>4.3781239970279977E-3</v>
      </c>
      <c r="G131" s="49">
        <f>IF((('Raw Data'!C131)/('Raw Data'!C$135)*100)&lt;0,0,('Raw Data'!C131)/('Raw Data'!C$135)*100)</f>
        <v>99.926105065161906</v>
      </c>
      <c r="H131" s="49">
        <f t="shared" si="4"/>
        <v>9.4048098884869091E-2</v>
      </c>
      <c r="I131" s="85">
        <f t="shared" si="5"/>
        <v>3.8995670878971822E-2</v>
      </c>
      <c r="J131" s="5">
        <f>'Raw Data'!F131/I131</f>
        <v>2.4117574275554766E-2</v>
      </c>
      <c r="K131" s="24">
        <f t="shared" si="6"/>
        <v>74.17088944582197</v>
      </c>
      <c r="L131" s="49">
        <f>A131*Table!$AC$9/$AC$16</f>
        <v>9401.286950287531</v>
      </c>
      <c r="M131" s="49">
        <f>A131*Table!$AD$9/$AC$16</f>
        <v>3223.2983829557252</v>
      </c>
      <c r="N131" s="49">
        <f>ABS(A131*Table!$AE$9/$AC$16)</f>
        <v>4070.8766636080668</v>
      </c>
      <c r="O131" s="49">
        <f>($L131*(Table!$AC$10/Table!$AC$9)/(Table!$AC$12-Table!$AC$14))</f>
        <v>20165.780674147431</v>
      </c>
      <c r="P131" s="49">
        <f>ROUND(($N131*(Table!$AE$10/Table!$AE$9)/(Table!$AC$12-Table!$AC$13)),2)</f>
        <v>33422.629999999997</v>
      </c>
      <c r="Q131" s="49">
        <f>'Raw Data'!C131</f>
        <v>1.4875</v>
      </c>
      <c r="R131" s="49">
        <f>'Raw Data'!C131/'Raw Data'!I$30*100</f>
        <v>13.804300916067099</v>
      </c>
      <c r="S131" s="54">
        <f t="shared" si="7"/>
        <v>1.0542168674700007E-2</v>
      </c>
      <c r="T131" s="54">
        <f t="shared" si="8"/>
        <v>1.9311676924260723E-8</v>
      </c>
      <c r="U131" s="91">
        <f t="shared" si="9"/>
        <v>3.2969769723062761E-4</v>
      </c>
      <c r="V131" s="91">
        <f t="shared" si="10"/>
        <v>5.1654350602366324E-4</v>
      </c>
      <c r="W131" s="91">
        <f t="shared" si="11"/>
        <v>6.3147490650170505E-9</v>
      </c>
      <c r="X131" s="145">
        <f t="shared" si="12"/>
        <v>0.2150004372014768</v>
      </c>
      <c r="Z131" s="111"/>
      <c r="AS131" s="147"/>
      <c r="AT131" s="147"/>
    </row>
    <row r="132" spans="1:46" x14ac:dyDescent="0.2">
      <c r="A132" s="49">
        <v>45769.8203125</v>
      </c>
      <c r="B132" s="111">
        <v>1</v>
      </c>
      <c r="C132" s="111">
        <f t="shared" si="1"/>
        <v>0</v>
      </c>
      <c r="D132" s="15">
        <f t="shared" si="2"/>
        <v>7.3894934838092396E-4</v>
      </c>
      <c r="E132" s="5">
        <f>(2*Table!$AC$16*0.147)/A132</f>
        <v>2.0025222873809733E-3</v>
      </c>
      <c r="F132" s="5">
        <f t="shared" si="3"/>
        <v>4.0050445747619465E-3</v>
      </c>
      <c r="G132" s="49">
        <f>IF((('Raw Data'!C132)/('Raw Data'!C$135)*100)&lt;0,0,('Raw Data'!C132)/('Raw Data'!C$135)*100)</f>
        <v>100</v>
      </c>
      <c r="H132" s="49">
        <f t="shared" si="4"/>
        <v>7.3894934838094173E-2</v>
      </c>
      <c r="I132" s="85">
        <f t="shared" si="5"/>
        <v>3.868070347994701E-2</v>
      </c>
      <c r="J132" s="5">
        <f>'Raw Data'!F132/I132</f>
        <v>1.9103823919955663E-2</v>
      </c>
      <c r="K132" s="24">
        <f t="shared" si="6"/>
        <v>81.080084104423534</v>
      </c>
      <c r="L132" s="49">
        <f>A132*Table!$AC$9/$AC$16</f>
        <v>10277.039176885186</v>
      </c>
      <c r="M132" s="49">
        <f>A132*Table!$AD$9/$AC$16</f>
        <v>3523.5562892177782</v>
      </c>
      <c r="N132" s="49">
        <f>ABS(A132*Table!$AE$9/$AC$16)</f>
        <v>4450.0885014352443</v>
      </c>
      <c r="O132" s="49">
        <f>($L132*(Table!$AC$10/Table!$AC$9)/(Table!$AC$12-Table!$AC$14))</f>
        <v>22044.271078689806</v>
      </c>
      <c r="P132" s="49">
        <f>ROUND(($N132*(Table!$AE$10/Table!$AE$9)/(Table!$AC$12-Table!$AC$13)),2)</f>
        <v>36536.03</v>
      </c>
      <c r="Q132" s="49">
        <f>'Raw Data'!C132</f>
        <v>1.4885999999999999</v>
      </c>
      <c r="R132" s="49">
        <f>'Raw Data'!C132/'Raw Data'!I$30*100</f>
        <v>13.814509138593268</v>
      </c>
      <c r="S132" s="54">
        <f t="shared" si="7"/>
        <v>8.2831325301193012E-3</v>
      </c>
      <c r="T132" s="54">
        <f t="shared" si="8"/>
        <v>0</v>
      </c>
      <c r="U132" s="91">
        <f t="shared" si="9"/>
        <v>3.0182572368151611E-4</v>
      </c>
      <c r="V132" s="91">
        <f t="shared" si="10"/>
        <v>4.4487778058706573E-4</v>
      </c>
      <c r="W132" s="91">
        <f t="shared" si="11"/>
        <v>4.1520190724799029E-9</v>
      </c>
      <c r="X132" s="145">
        <f t="shared" si="12"/>
        <v>0.21500044135349586</v>
      </c>
      <c r="Z132" s="111"/>
      <c r="AS132" s="147"/>
      <c r="AT132" s="147"/>
    </row>
    <row r="133" spans="1:46" x14ac:dyDescent="0.2">
      <c r="A133" s="49">
        <v>50070.6953125</v>
      </c>
      <c r="B133" s="111">
        <v>1</v>
      </c>
      <c r="C133" s="111">
        <f t="shared" si="1"/>
        <v>0</v>
      </c>
      <c r="D133" s="15">
        <f t="shared" si="2"/>
        <v>0</v>
      </c>
      <c r="E133" s="5">
        <f>(2*Table!$AC$16*0.147)/A133</f>
        <v>1.8305135307821903E-3</v>
      </c>
      <c r="F133" s="5">
        <f t="shared" si="3"/>
        <v>3.6610270615643806E-3</v>
      </c>
      <c r="G133" s="49">
        <f>IF((('Raw Data'!C133)/('Raw Data'!C$135)*100)&lt;0,0,('Raw Data'!C133)/('Raw Data'!C$135)*100)</f>
        <v>100</v>
      </c>
      <c r="H133" s="49">
        <f t="shared" si="4"/>
        <v>0</v>
      </c>
      <c r="I133" s="85">
        <f t="shared" si="5"/>
        <v>3.9004414885128735E-2</v>
      </c>
      <c r="J133" s="5">
        <f>'Raw Data'!F133/I133</f>
        <v>0</v>
      </c>
      <c r="K133" s="24">
        <f t="shared" si="6"/>
        <v>88.698975861955219</v>
      </c>
      <c r="L133" s="49">
        <f>A133*Table!$AC$9/$AC$16</f>
        <v>11242.746723213804</v>
      </c>
      <c r="M133" s="49">
        <f>A133*Table!$AD$9/$AC$16</f>
        <v>3854.6560193875898</v>
      </c>
      <c r="N133" s="49">
        <f>ABS(A133*Table!$AE$9/$AC$16)</f>
        <v>4868.252135308705</v>
      </c>
      <c r="O133" s="49">
        <f>($L133*(Table!$AC$10/Table!$AC$9)/(Table!$AC$12-Table!$AC$14))</f>
        <v>24115.715837009451</v>
      </c>
      <c r="P133" s="49">
        <f>ROUND(($N133*(Table!$AE$10/Table!$AE$9)/(Table!$AC$12-Table!$AC$13)),2)</f>
        <v>39969.230000000003</v>
      </c>
      <c r="Q133" s="49">
        <f>'Raw Data'!C133</f>
        <v>1.4885999999999999</v>
      </c>
      <c r="R133" s="49">
        <f>'Raw Data'!C133/'Raw Data'!I$30*100</f>
        <v>13.814509138593268</v>
      </c>
      <c r="S133" s="54">
        <f t="shared" si="7"/>
        <v>0</v>
      </c>
      <c r="T133" s="54">
        <f t="shared" si="8"/>
        <v>0</v>
      </c>
      <c r="U133" s="91">
        <f t="shared" si="9"/>
        <v>2.7590008591601317E-4</v>
      </c>
      <c r="V133" s="91">
        <f t="shared" si="10"/>
        <v>3.8219433884232907E-4</v>
      </c>
      <c r="W133" s="91">
        <f t="shared" si="11"/>
        <v>0</v>
      </c>
      <c r="X133" s="145">
        <f t="shared" si="12"/>
        <v>0.21500044135349586</v>
      </c>
      <c r="Z133" s="111"/>
      <c r="AS133" s="147"/>
      <c r="AT133" s="147"/>
    </row>
    <row r="134" spans="1:46" x14ac:dyDescent="0.2">
      <c r="A134" s="49">
        <v>54767.6796875</v>
      </c>
      <c r="B134" s="111">
        <v>1</v>
      </c>
      <c r="C134" s="111">
        <f t="shared" si="1"/>
        <v>0</v>
      </c>
      <c r="D134" s="15">
        <f t="shared" si="2"/>
        <v>0</v>
      </c>
      <c r="E134" s="5">
        <f>(2*Table!$AC$16*0.147)/A134</f>
        <v>1.673525075157104E-3</v>
      </c>
      <c r="F134" s="5">
        <f t="shared" si="3"/>
        <v>3.347050150314208E-3</v>
      </c>
      <c r="G134" s="49">
        <f>IF((('Raw Data'!C134)/('Raw Data'!C$135)*100)&lt;0,0,('Raw Data'!C134)/('Raw Data'!C$135)*100)</f>
        <v>100</v>
      </c>
      <c r="H134" s="49">
        <f t="shared" si="4"/>
        <v>0</v>
      </c>
      <c r="I134" s="85">
        <f t="shared" si="5"/>
        <v>3.894071947908806E-2</v>
      </c>
      <c r="J134" s="5">
        <f>'Raw Data'!F134/I134</f>
        <v>0</v>
      </c>
      <c r="K134" s="24">
        <f t="shared" si="6"/>
        <v>97.019565402442353</v>
      </c>
      <c r="L134" s="49">
        <f>A134*Table!$AC$9/$AC$16</f>
        <v>12297.395662307617</v>
      </c>
      <c r="M134" s="49">
        <f>A134*Table!$AD$9/$AC$16</f>
        <v>4216.249941362611</v>
      </c>
      <c r="N134" s="49">
        <f>ABS(A134*Table!$AE$9/$AC$16)</f>
        <v>5324.9285219734793</v>
      </c>
      <c r="O134" s="49">
        <f>($L134*(Table!$AC$10/Table!$AC$9)/(Table!$AC$12-Table!$AC$14))</f>
        <v>26377.940073589914</v>
      </c>
      <c r="P134" s="49">
        <f>ROUND(($N134*(Table!$AE$10/Table!$AE$9)/(Table!$AC$12-Table!$AC$13)),2)</f>
        <v>43718.62</v>
      </c>
      <c r="Q134" s="49">
        <f>'Raw Data'!C134</f>
        <v>1.4885999999999999</v>
      </c>
      <c r="R134" s="49">
        <f>'Raw Data'!C134/'Raw Data'!I$30*100</f>
        <v>13.814509138593268</v>
      </c>
      <c r="S134" s="54">
        <f t="shared" si="7"/>
        <v>0</v>
      </c>
      <c r="T134" s="54">
        <f t="shared" si="8"/>
        <v>0</v>
      </c>
      <c r="U134" s="91">
        <f t="shared" si="9"/>
        <v>2.5223834965106706E-4</v>
      </c>
      <c r="V134" s="91">
        <f t="shared" si="10"/>
        <v>3.2842445904569638E-4</v>
      </c>
      <c r="W134" s="91">
        <f t="shared" si="11"/>
        <v>0</v>
      </c>
      <c r="X134" s="145">
        <f t="shared" si="12"/>
        <v>0.21500044135349586</v>
      </c>
      <c r="Z134" s="111"/>
      <c r="AS134" s="147"/>
      <c r="AT134" s="147"/>
    </row>
    <row r="135" spans="1:46" x14ac:dyDescent="0.2">
      <c r="A135" s="49">
        <v>59465.51171875</v>
      </c>
      <c r="B135" s="111">
        <v>1</v>
      </c>
      <c r="C135" s="111">
        <f t="shared" si="1"/>
        <v>0</v>
      </c>
      <c r="D135" s="15">
        <f t="shared" si="2"/>
        <v>0</v>
      </c>
      <c r="E135" s="5">
        <f>(2*Table!$AC$16*0.147)/A135</f>
        <v>1.5413150011841902E-3</v>
      </c>
      <c r="F135" s="5">
        <f t="shared" si="3"/>
        <v>3.0826300023683805E-3</v>
      </c>
      <c r="G135" s="49">
        <f>IF((('Raw Data'!C135)/('Raw Data'!C$135)*100)&lt;0,0,('Raw Data'!C135)/('Raw Data'!C$135)*100)</f>
        <v>100</v>
      </c>
      <c r="H135" s="49">
        <f t="shared" si="4"/>
        <v>0</v>
      </c>
      <c r="I135" s="85">
        <f t="shared" si="5"/>
        <v>3.574081867062473E-2</v>
      </c>
      <c r="J135" s="5">
        <f>'Raw Data'!F135/I135</f>
        <v>0</v>
      </c>
      <c r="K135" s="24">
        <f t="shared" si="6"/>
        <v>105.34165654463062</v>
      </c>
      <c r="L135" s="49">
        <f>A135*Table!$AC$9/$AC$16</f>
        <v>13352.234931982373</v>
      </c>
      <c r="M135" s="49">
        <f>A135*Table!$AD$9/$AC$16</f>
        <v>4577.9091195368137</v>
      </c>
      <c r="N135" s="49">
        <f>ABS(A135*Table!$AE$9/$AC$16)</f>
        <v>5781.6873241973608</v>
      </c>
      <c r="O135" s="49">
        <f>($L135*(Table!$AC$10/Table!$AC$9)/(Table!$AC$12-Table!$AC$14))</f>
        <v>28640.572569674765</v>
      </c>
      <c r="P135" s="49">
        <f>ROUND(($N135*(Table!$AE$10/Table!$AE$9)/(Table!$AC$12-Table!$AC$13)),2)</f>
        <v>47468.7</v>
      </c>
      <c r="Q135" s="49">
        <f>'Raw Data'!C135</f>
        <v>1.4885999999999999</v>
      </c>
      <c r="R135" s="49">
        <f>'Raw Data'!C135/'Raw Data'!I$30*100</f>
        <v>13.814509138593268</v>
      </c>
      <c r="S135" s="54">
        <f t="shared" si="7"/>
        <v>0</v>
      </c>
      <c r="T135" s="54">
        <f t="shared" si="8"/>
        <v>0</v>
      </c>
      <c r="U135" s="91">
        <f t="shared" si="9"/>
        <v>2.3231127992189514E-4</v>
      </c>
      <c r="V135" s="91">
        <f t="shared" si="10"/>
        <v>2.8575758629716651E-4</v>
      </c>
      <c r="W135" s="91">
        <f t="shared" si="11"/>
        <v>0</v>
      </c>
      <c r="X135" s="145">
        <f t="shared" si="12"/>
        <v>0.21500044135349586</v>
      </c>
      <c r="AS135" s="147"/>
      <c r="AT135" s="147"/>
    </row>
    <row r="136" spans="1:46" x14ac:dyDescent="0.2">
      <c r="A136" s="49"/>
      <c r="B136" s="111"/>
      <c r="C136" s="111"/>
      <c r="D136" s="28"/>
      <c r="E136" s="5"/>
      <c r="F136" s="9"/>
      <c r="G136" s="9"/>
      <c r="H136" s="9"/>
      <c r="I136" s="5"/>
      <c r="J136" s="5"/>
      <c r="K136" s="24"/>
      <c r="L136" s="49"/>
      <c r="M136" s="49"/>
      <c r="N136" s="49"/>
      <c r="O136" s="49"/>
      <c r="P136" s="49"/>
      <c r="Q136" s="49"/>
      <c r="R136" s="49"/>
      <c r="S136" s="54"/>
      <c r="T136" s="54"/>
      <c r="U136" s="91"/>
      <c r="V136" s="91"/>
      <c r="W136" s="91"/>
      <c r="X136" s="91"/>
      <c r="AS136" s="147"/>
      <c r="AT136" s="147"/>
    </row>
    <row r="137" spans="1:46" x14ac:dyDescent="0.2">
      <c r="A137" s="49"/>
      <c r="B137" s="111"/>
      <c r="C137" s="111"/>
      <c r="D137" s="11"/>
      <c r="E137" s="11"/>
      <c r="F137" s="11"/>
      <c r="G137" s="11"/>
      <c r="H137" s="11"/>
      <c r="I137" s="11"/>
      <c r="J137" s="5"/>
      <c r="K137" s="154"/>
      <c r="L137" s="49"/>
      <c r="M137" s="49"/>
      <c r="N137" s="49"/>
      <c r="O137" s="49"/>
      <c r="P137" s="49"/>
      <c r="Q137" s="49"/>
      <c r="AS137" s="147"/>
      <c r="AT137" s="147"/>
    </row>
    <row r="138" spans="1:46" x14ac:dyDescent="0.2">
      <c r="A138" s="49"/>
      <c r="B138" s="111"/>
      <c r="C138" s="111"/>
      <c r="D138" s="11"/>
      <c r="E138" s="11"/>
      <c r="F138" s="11"/>
      <c r="G138" s="11"/>
      <c r="H138" s="11"/>
      <c r="I138" s="11"/>
      <c r="J138" s="5"/>
      <c r="K138" s="154"/>
      <c r="L138" s="49"/>
      <c r="M138" s="49"/>
      <c r="N138" s="49"/>
      <c r="O138" s="49"/>
      <c r="P138" s="49"/>
      <c r="Q138" s="49"/>
      <c r="AS138" s="147"/>
      <c r="AT138" s="147"/>
    </row>
    <row r="139" spans="1:46" x14ac:dyDescent="0.2">
      <c r="A139" s="49"/>
      <c r="B139" s="111"/>
      <c r="C139" s="111"/>
      <c r="D139" s="11"/>
      <c r="E139" s="11"/>
      <c r="F139" s="11"/>
      <c r="G139" s="11"/>
      <c r="H139" s="11"/>
      <c r="I139" s="11"/>
      <c r="J139" s="5"/>
      <c r="K139" s="154"/>
      <c r="L139" s="49"/>
      <c r="M139" s="49"/>
      <c r="N139" s="49"/>
      <c r="O139" s="49"/>
      <c r="P139" s="49"/>
      <c r="Q139" s="49"/>
      <c r="AS139" s="147"/>
      <c r="AT139" s="147"/>
    </row>
    <row r="140" spans="1:46" x14ac:dyDescent="0.2">
      <c r="A140" s="49"/>
      <c r="B140" s="111"/>
      <c r="C140" s="111"/>
      <c r="D140" s="11"/>
      <c r="E140" s="11"/>
      <c r="F140" s="11"/>
      <c r="G140" s="11"/>
      <c r="H140" s="11"/>
      <c r="I140" s="11"/>
      <c r="J140" s="5"/>
      <c r="K140" s="154"/>
      <c r="L140" s="49"/>
      <c r="M140" s="49"/>
      <c r="N140" s="49"/>
      <c r="O140" s="49"/>
      <c r="P140" s="49"/>
      <c r="Q140" s="49"/>
      <c r="AS140" s="147"/>
      <c r="AT140" s="147"/>
    </row>
    <row r="141" spans="1:46" x14ac:dyDescent="0.2">
      <c r="A141" s="49"/>
      <c r="B141" s="111"/>
      <c r="C141" s="111"/>
      <c r="D141" s="11"/>
      <c r="E141" s="11"/>
      <c r="F141" s="11"/>
      <c r="G141" s="11"/>
      <c r="H141" s="11"/>
      <c r="I141" s="11"/>
      <c r="J141" s="5"/>
      <c r="K141" s="154"/>
      <c r="L141" s="49"/>
      <c r="M141" s="49"/>
      <c r="N141" s="49"/>
      <c r="O141" s="49"/>
      <c r="P141" s="49"/>
      <c r="Q141" s="49"/>
      <c r="AS141" s="147"/>
      <c r="AT141" s="147"/>
    </row>
    <row r="142" spans="1:46" x14ac:dyDescent="0.2">
      <c r="A142" s="49"/>
      <c r="B142" s="111"/>
      <c r="C142" s="111"/>
      <c r="D142" s="11"/>
      <c r="E142" s="11"/>
      <c r="F142" s="11"/>
      <c r="G142" s="11"/>
      <c r="H142" s="11"/>
      <c r="I142" s="11"/>
      <c r="J142" s="5"/>
      <c r="K142" s="154"/>
      <c r="L142" s="49"/>
      <c r="M142" s="49"/>
      <c r="N142" s="49"/>
      <c r="O142" s="49"/>
      <c r="P142" s="49"/>
      <c r="Q142" s="49"/>
      <c r="AS142" s="147"/>
      <c r="AT142" s="147"/>
    </row>
    <row r="143" spans="1:46" x14ac:dyDescent="0.2">
      <c r="J143" s="5"/>
      <c r="AS143" s="147"/>
      <c r="AT143" s="147"/>
    </row>
    <row r="144" spans="1:46" x14ac:dyDescent="0.2">
      <c r="J144" s="5"/>
      <c r="AS144" s="147"/>
      <c r="AT144" s="147"/>
    </row>
    <row r="145" spans="10:46" x14ac:dyDescent="0.2">
      <c r="J145" s="5"/>
      <c r="AS145" s="147"/>
      <c r="AT145" s="147"/>
    </row>
    <row r="146" spans="10:46" x14ac:dyDescent="0.2">
      <c r="J146" s="5"/>
      <c r="AS146" s="147"/>
      <c r="AT146" s="147"/>
    </row>
    <row r="147" spans="10:46" x14ac:dyDescent="0.2">
      <c r="J147" s="5"/>
      <c r="AS147" s="147"/>
      <c r="AT147" s="147"/>
    </row>
    <row r="148" spans="10:46" x14ac:dyDescent="0.2">
      <c r="J148" s="5"/>
      <c r="AS148" s="147"/>
      <c r="AT148" s="147"/>
    </row>
    <row r="149" spans="10:46" x14ac:dyDescent="0.2">
      <c r="J149" s="5"/>
      <c r="AS149" s="147"/>
      <c r="AT149" s="147"/>
    </row>
    <row r="150" spans="10:46" x14ac:dyDescent="0.2">
      <c r="J150" s="5"/>
      <c r="AS150" s="147"/>
      <c r="AT150" s="147"/>
    </row>
    <row r="151" spans="10:46" x14ac:dyDescent="0.2">
      <c r="J151" s="5"/>
      <c r="AS151" s="147"/>
      <c r="AT151" s="147"/>
    </row>
    <row r="152" spans="10:46" x14ac:dyDescent="0.2">
      <c r="J152" s="5"/>
      <c r="AS152" s="147"/>
      <c r="AT152" s="147"/>
    </row>
    <row r="153" spans="10:46" x14ac:dyDescent="0.2">
      <c r="J153" s="5"/>
      <c r="AS153" s="147"/>
      <c r="AT153" s="147"/>
    </row>
    <row r="154" spans="10:46" x14ac:dyDescent="0.2">
      <c r="J154" s="5"/>
      <c r="AS154" s="147"/>
      <c r="AT154" s="147"/>
    </row>
    <row r="155" spans="10:46" x14ac:dyDescent="0.2">
      <c r="J155" s="5"/>
      <c r="AS155" s="147"/>
      <c r="AT155" s="147"/>
    </row>
    <row r="156" spans="10:46" x14ac:dyDescent="0.2">
      <c r="J156" s="5"/>
      <c r="AS156" s="147"/>
      <c r="AT156" s="147"/>
    </row>
    <row r="157" spans="10:46" x14ac:dyDescent="0.2">
      <c r="J157" s="5"/>
      <c r="AS157" s="147"/>
      <c r="AT157" s="147"/>
    </row>
    <row r="158" spans="10:46" x14ac:dyDescent="0.2">
      <c r="J158" s="5"/>
      <c r="AS158" s="147"/>
      <c r="AT158" s="147"/>
    </row>
    <row r="159" spans="10:46" x14ac:dyDescent="0.2">
      <c r="J159" s="5"/>
      <c r="AS159" s="147"/>
      <c r="AT159" s="147"/>
    </row>
    <row r="160" spans="10:46" x14ac:dyDescent="0.2">
      <c r="J160" s="5"/>
      <c r="AS160" s="147"/>
      <c r="AT160" s="147"/>
    </row>
    <row r="161" spans="10:46" x14ac:dyDescent="0.2">
      <c r="J161" s="5"/>
      <c r="AS161" s="147"/>
      <c r="AT161" s="147"/>
    </row>
    <row r="162" spans="10:46" x14ac:dyDescent="0.2">
      <c r="J162" s="5"/>
    </row>
    <row r="163" spans="10:46" x14ac:dyDescent="0.2">
      <c r="J163" s="5"/>
    </row>
    <row r="164" spans="10:46" x14ac:dyDescent="0.2">
      <c r="J164" s="5"/>
    </row>
    <row r="165" spans="10:46" x14ac:dyDescent="0.2">
      <c r="J165" s="5"/>
    </row>
    <row r="166" spans="10:46" x14ac:dyDescent="0.2">
      <c r="J166" s="5"/>
    </row>
    <row r="167" spans="10:46" x14ac:dyDescent="0.2">
      <c r="J167" s="5"/>
    </row>
    <row r="168" spans="10:46" x14ac:dyDescent="0.2">
      <c r="J168" s="5"/>
    </row>
    <row r="169" spans="10:46" x14ac:dyDescent="0.2">
      <c r="J169" s="5"/>
    </row>
    <row r="170" spans="10:46" x14ac:dyDescent="0.2">
      <c r="J170" s="5"/>
    </row>
    <row r="171" spans="10:46" x14ac:dyDescent="0.2">
      <c r="J171" s="5"/>
    </row>
    <row r="172" spans="10:46" x14ac:dyDescent="0.2">
      <c r="J172" s="5"/>
    </row>
    <row r="173" spans="10:46" x14ac:dyDescent="0.2">
      <c r="J173" s="5"/>
    </row>
    <row r="174" spans="10:46" x14ac:dyDescent="0.2">
      <c r="J174" s="5"/>
    </row>
    <row r="175" spans="10:46" x14ac:dyDescent="0.2">
      <c r="J175" s="5"/>
    </row>
    <row r="176" spans="10:46" x14ac:dyDescent="0.2">
      <c r="J176" s="5"/>
    </row>
    <row r="177" spans="10:10" x14ac:dyDescent="0.2">
      <c r="J177" s="5"/>
    </row>
    <row r="178" spans="10:10" x14ac:dyDescent="0.2">
      <c r="J178" s="5"/>
    </row>
    <row r="179" spans="10:10" x14ac:dyDescent="0.2">
      <c r="J179" s="5"/>
    </row>
    <row r="180" spans="10:10" x14ac:dyDescent="0.2">
      <c r="J180" s="5"/>
    </row>
    <row r="181" spans="10:10" x14ac:dyDescent="0.2">
      <c r="J181" s="5"/>
    </row>
    <row r="182" spans="10:10" x14ac:dyDescent="0.2">
      <c r="J182" s="5"/>
    </row>
    <row r="183" spans="10:10" x14ac:dyDescent="0.2">
      <c r="J183" s="5"/>
    </row>
    <row r="184" spans="10:10" x14ac:dyDescent="0.2">
      <c r="J184" s="5"/>
    </row>
    <row r="185" spans="10:10" x14ac:dyDescent="0.2">
      <c r="J185" s="5"/>
    </row>
    <row r="186" spans="10:10" x14ac:dyDescent="0.2">
      <c r="J186" s="5"/>
    </row>
    <row r="187" spans="10:10" x14ac:dyDescent="0.2">
      <c r="J187" s="5"/>
    </row>
    <row r="188" spans="10:10" x14ac:dyDescent="0.2">
      <c r="J188" s="5"/>
    </row>
    <row r="189" spans="10:10" x14ac:dyDescent="0.2">
      <c r="J189" s="5"/>
    </row>
    <row r="190" spans="10:10" x14ac:dyDescent="0.2">
      <c r="J190" s="5"/>
    </row>
  </sheetData>
  <mergeCells count="3">
    <mergeCell ref="AR4:AT4"/>
    <mergeCell ref="AN4:AP4"/>
    <mergeCell ref="A5:P5"/>
  </mergeCells>
  <printOptions horizontalCentered="1"/>
  <pageMargins left="0.5" right="0.5" top="0.1" bottom="0.25" header="0" footer="0"/>
  <pageSetup scale="37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Raw Data</vt:lpstr>
      <vt:lpstr>Compilation</vt:lpstr>
      <vt:lpstr>Compilation 2</vt:lpstr>
      <vt:lpstr>Table</vt:lpstr>
      <vt:lpstr>Compilation!Print_Area</vt:lpstr>
      <vt:lpstr>'Compilation 2'!Print_Area</vt:lpstr>
      <vt:lpstr>'Raw Data'!Print_Area</vt:lpstr>
      <vt:lpstr>Table!Print_Area</vt:lpstr>
      <vt:lpstr>'Raw Data'!Print_Titles</vt:lpstr>
      <vt:lpstr>Table!Print_Titles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Badgett, Simon J</cp:lastModifiedBy>
  <dcterms:created xsi:type="dcterms:W3CDTF">2013-03-19T19:19:38Z</dcterms:created>
  <dcterms:modified xsi:type="dcterms:W3CDTF">2013-03-19T19:19:39Z</dcterms:modified>
</cp:coreProperties>
</file>